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jal.svingheim\Desktop\"/>
    </mc:Choice>
  </mc:AlternateContent>
  <xr:revisionPtr revIDLastSave="0" documentId="8_{EF4F436B-CC15-4465-B108-DCC87D345E0A}" xr6:coauthVersionLast="43" xr6:coauthVersionMax="43" xr10:uidLastSave="{00000000-0000-0000-0000-000000000000}"/>
  <bookViews>
    <workbookView xWindow="-120" yWindow="-120" windowWidth="29040" windowHeight="17640" tabRatio="708" firstSheet="6" activeTab="7" xr2:uid="{00000000-000D-0000-FFFF-FFFF00000000}"/>
  </bookViews>
  <sheets>
    <sheet name="Samleark" sheetId="4" r:id="rId1"/>
    <sheet name="Kapasitet" sheetId="5" r:id="rId2"/>
    <sheet name="Driftseffektivitet" sheetId="6" r:id="rId3"/>
    <sheet name="RAMS" sheetId="7" r:id="rId4"/>
    <sheet name="Risiko gjennomføring" sheetId="3" r:id="rId5"/>
    <sheet name="Forventet kostnad" sheetId="8" r:id="rId6"/>
    <sheet name="Analyse" sheetId="9" r:id="rId7"/>
    <sheet name="Analyse dim.kap" sheetId="17" r:id="rId8"/>
    <sheet name="Sammenstilling Referanse" sheetId="10" r:id="rId9"/>
    <sheet name="Sammenstilling Konsept 3.7" sheetId="12" r:id="rId10"/>
    <sheet name="Sammenstilling Konsept 3.7 impl" sheetId="13" r:id="rId11"/>
    <sheet name="Sammenstilling konsept 4.8.3" sheetId="14" r:id="rId12"/>
    <sheet name="Sammenstilling konsept 4.8.3 im" sheetId="15" r:id="rId13"/>
    <sheet name="Sammendrag" sheetId="16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7" l="1"/>
  <c r="I40" i="17"/>
  <c r="G39" i="17"/>
  <c r="G20" i="17"/>
  <c r="E41" i="17"/>
  <c r="E40" i="17"/>
  <c r="E39" i="17"/>
  <c r="E22" i="17"/>
  <c r="E21" i="17"/>
  <c r="C41" i="17"/>
  <c r="M4" i="15"/>
  <c r="K4" i="15"/>
  <c r="M4" i="14"/>
  <c r="K4" i="14"/>
  <c r="L4" i="13"/>
  <c r="J4" i="13"/>
  <c r="L4" i="12"/>
  <c r="J4" i="12"/>
  <c r="L5" i="10"/>
  <c r="J5" i="10"/>
  <c r="N29" i="5" l="1"/>
  <c r="C20" i="5" s="1"/>
  <c r="N23" i="5"/>
  <c r="N24" i="5"/>
  <c r="I20" i="17"/>
  <c r="O29" i="5"/>
  <c r="O24" i="5"/>
  <c r="D8" i="5" s="1"/>
  <c r="F11" i="17" s="1"/>
  <c r="K41" i="17" l="1"/>
  <c r="K40" i="17"/>
  <c r="K39" i="17"/>
  <c r="I39" i="17"/>
  <c r="G41" i="17"/>
  <c r="G40" i="17"/>
  <c r="C40" i="17"/>
  <c r="K22" i="17"/>
  <c r="K21" i="17"/>
  <c r="K20" i="17"/>
  <c r="I22" i="17"/>
  <c r="I21" i="17"/>
  <c r="G22" i="17"/>
  <c r="G21" i="17"/>
  <c r="E20" i="17"/>
  <c r="C21" i="17"/>
  <c r="C20" i="17"/>
  <c r="B15" i="17"/>
  <c r="B16" i="17" l="1"/>
  <c r="M23" i="5" l="1"/>
  <c r="P6" i="16" l="1"/>
  <c r="O6" i="16"/>
  <c r="N6" i="16"/>
  <c r="M6" i="16"/>
  <c r="L37" i="15" l="1"/>
  <c r="L38" i="15"/>
  <c r="L39" i="15"/>
  <c r="L36" i="15"/>
  <c r="K37" i="15"/>
  <c r="K38" i="15"/>
  <c r="K39" i="15"/>
  <c r="K36" i="15"/>
  <c r="M3" i="15"/>
  <c r="K3" i="15"/>
  <c r="L37" i="14"/>
  <c r="L38" i="14"/>
  <c r="L39" i="14"/>
  <c r="L36" i="14"/>
  <c r="K37" i="14"/>
  <c r="K38" i="14"/>
  <c r="K39" i="14"/>
  <c r="K36" i="14"/>
  <c r="M3" i="14"/>
  <c r="K3" i="14"/>
  <c r="K37" i="13"/>
  <c r="K38" i="13"/>
  <c r="K39" i="13"/>
  <c r="K36" i="13"/>
  <c r="J37" i="13"/>
  <c r="J38" i="13"/>
  <c r="J39" i="13"/>
  <c r="J36" i="13"/>
  <c r="L3" i="13"/>
  <c r="J3" i="13"/>
  <c r="K37" i="12"/>
  <c r="K38" i="12"/>
  <c r="K39" i="12"/>
  <c r="K36" i="12"/>
  <c r="J37" i="12"/>
  <c r="J38" i="12"/>
  <c r="J39" i="12"/>
  <c r="J36" i="12"/>
  <c r="L3" i="12"/>
  <c r="J3" i="12"/>
  <c r="K38" i="10"/>
  <c r="K39" i="10"/>
  <c r="K40" i="10"/>
  <c r="K37" i="10"/>
  <c r="J38" i="10"/>
  <c r="J39" i="10"/>
  <c r="J40" i="10"/>
  <c r="J37" i="10"/>
  <c r="M9" i="10"/>
  <c r="L9" i="10"/>
  <c r="L4" i="10"/>
  <c r="J9" i="10"/>
  <c r="K9" i="10" s="1"/>
  <c r="J4" i="10"/>
  <c r="F8" i="15" l="1"/>
  <c r="F4" i="15"/>
  <c r="F13" i="15"/>
  <c r="F13" i="14"/>
  <c r="F8" i="14"/>
  <c r="F6" i="14"/>
  <c r="F4" i="14"/>
  <c r="F10" i="14" s="1"/>
  <c r="F6" i="13"/>
  <c r="F4" i="13"/>
  <c r="F10" i="12"/>
  <c r="F10" i="15" l="1"/>
  <c r="F10" i="13"/>
  <c r="K11" i="8" l="1"/>
  <c r="D22" i="8" s="1"/>
  <c r="D23" i="8" s="1"/>
  <c r="D14" i="9" s="1"/>
  <c r="M11" i="8"/>
  <c r="F22" i="8" s="1"/>
  <c r="F23" i="8" s="1"/>
  <c r="F14" i="9" s="1"/>
  <c r="D6" i="8" l="1"/>
  <c r="F6" i="8"/>
  <c r="D20" i="5"/>
  <c r="F31" i="17" s="1"/>
  <c r="E19" i="5"/>
  <c r="H30" i="17" s="1"/>
  <c r="F19" i="5"/>
  <c r="J30" i="17" s="1"/>
  <c r="C8" i="5"/>
  <c r="C7" i="5"/>
  <c r="B7" i="5"/>
  <c r="Q31" i="5"/>
  <c r="F22" i="5" s="1"/>
  <c r="Q30" i="5"/>
  <c r="F21" i="5" s="1"/>
  <c r="Q29" i="5"/>
  <c r="F20" i="5" s="1"/>
  <c r="J31" i="17" s="1"/>
  <c r="Q28" i="5"/>
  <c r="P31" i="5"/>
  <c r="E22" i="5" s="1"/>
  <c r="P30" i="5"/>
  <c r="E21" i="5" s="1"/>
  <c r="P29" i="5"/>
  <c r="E20" i="5" s="1"/>
  <c r="H31" i="17" s="1"/>
  <c r="P28" i="5"/>
  <c r="O31" i="5"/>
  <c r="D22" i="5" s="1"/>
  <c r="O30" i="5"/>
  <c r="D21" i="5" s="1"/>
  <c r="O28" i="5"/>
  <c r="D19" i="5" s="1"/>
  <c r="F30" i="17" s="1"/>
  <c r="N31" i="5"/>
  <c r="C22" i="5" s="1"/>
  <c r="N30" i="5"/>
  <c r="C21" i="5" s="1"/>
  <c r="N28" i="5"/>
  <c r="C19" i="5" s="1"/>
  <c r="D30" i="17" s="1"/>
  <c r="M31" i="5"/>
  <c r="B22" i="5" s="1"/>
  <c r="L8" i="10" s="1"/>
  <c r="M8" i="10" s="1"/>
  <c r="M30" i="5"/>
  <c r="B21" i="5" s="1"/>
  <c r="M29" i="5"/>
  <c r="B20" i="5" s="1"/>
  <c r="M28" i="5"/>
  <c r="B19" i="5" s="1"/>
  <c r="Q26" i="5"/>
  <c r="F10" i="5" s="1"/>
  <c r="Q25" i="5"/>
  <c r="F9" i="5" s="1"/>
  <c r="Q24" i="5"/>
  <c r="F8" i="5" s="1"/>
  <c r="J11" i="17" s="1"/>
  <c r="Q23" i="5"/>
  <c r="F7" i="5" s="1"/>
  <c r="J10" i="17" s="1"/>
  <c r="P26" i="5"/>
  <c r="E10" i="5" s="1"/>
  <c r="P25" i="5"/>
  <c r="E9" i="5" s="1"/>
  <c r="P24" i="5"/>
  <c r="E8" i="5" s="1"/>
  <c r="H11" i="17" s="1"/>
  <c r="P23" i="5"/>
  <c r="E7" i="5" s="1"/>
  <c r="H10" i="17" s="1"/>
  <c r="O26" i="5"/>
  <c r="D10" i="5" s="1"/>
  <c r="O25" i="5"/>
  <c r="D9" i="5" s="1"/>
  <c r="O23" i="5"/>
  <c r="D7" i="5" s="1"/>
  <c r="F10" i="17" s="1"/>
  <c r="N26" i="5"/>
  <c r="C10" i="5" s="1"/>
  <c r="N25" i="5"/>
  <c r="C9" i="5" s="1"/>
  <c r="M26" i="5"/>
  <c r="B10" i="5" s="1"/>
  <c r="J8" i="10" s="1"/>
  <c r="K8" i="10" s="1"/>
  <c r="M25" i="5"/>
  <c r="B9" i="5" s="1"/>
  <c r="M24" i="5"/>
  <c r="B8" i="5" s="1"/>
  <c r="K7" i="15" l="1"/>
  <c r="J13" i="17"/>
  <c r="J15" i="17"/>
  <c r="J16" i="17" s="1"/>
  <c r="M7" i="15"/>
  <c r="N5" i="15" s="1"/>
  <c r="J33" i="17"/>
  <c r="J6" i="12"/>
  <c r="C12" i="5"/>
  <c r="D12" i="17"/>
  <c r="J7" i="13"/>
  <c r="F13" i="17"/>
  <c r="K7" i="14"/>
  <c r="H13" i="17"/>
  <c r="J7" i="12"/>
  <c r="D13" i="17"/>
  <c r="L6" i="13"/>
  <c r="M4" i="13" s="1"/>
  <c r="D24" i="5"/>
  <c r="F32" i="17"/>
  <c r="M6" i="14"/>
  <c r="E24" i="5"/>
  <c r="H32" i="17"/>
  <c r="M6" i="15"/>
  <c r="F24" i="5"/>
  <c r="J32" i="17"/>
  <c r="J7" i="10"/>
  <c r="K7" i="10" s="1"/>
  <c r="B12" i="5"/>
  <c r="L6" i="12"/>
  <c r="C24" i="5"/>
  <c r="C25" i="5" s="1"/>
  <c r="D32" i="17"/>
  <c r="L7" i="13"/>
  <c r="F33" i="17"/>
  <c r="M7" i="14"/>
  <c r="N7" i="14" s="1"/>
  <c r="H33" i="17"/>
  <c r="J6" i="13"/>
  <c r="D12" i="5"/>
  <c r="F12" i="17"/>
  <c r="F15" i="17" s="1"/>
  <c r="F16" i="17" s="1"/>
  <c r="K6" i="14"/>
  <c r="E12" i="5"/>
  <c r="H12" i="17"/>
  <c r="H15" i="17" s="1"/>
  <c r="H16" i="17" s="1"/>
  <c r="K6" i="15"/>
  <c r="L3" i="15" s="1"/>
  <c r="F12" i="5"/>
  <c r="J12" i="17"/>
  <c r="L7" i="10"/>
  <c r="M7" i="10" s="1"/>
  <c r="B24" i="5"/>
  <c r="B29" i="5" s="1"/>
  <c r="L7" i="12"/>
  <c r="D33" i="17"/>
  <c r="D31" i="17"/>
  <c r="D10" i="17"/>
  <c r="K7" i="12"/>
  <c r="D11" i="17"/>
  <c r="E36" i="5"/>
  <c r="K7" i="13"/>
  <c r="K4" i="13"/>
  <c r="K3" i="13"/>
  <c r="K5" i="13"/>
  <c r="K6" i="13"/>
  <c r="D4" i="14"/>
  <c r="M7" i="13"/>
  <c r="M3" i="13"/>
  <c r="D4" i="15"/>
  <c r="N3" i="14"/>
  <c r="K3" i="12"/>
  <c r="N3" i="15"/>
  <c r="L7" i="15"/>
  <c r="L6" i="15"/>
  <c r="L5" i="15"/>
  <c r="K5" i="10"/>
  <c r="K4" i="10"/>
  <c r="L4" i="15" l="1"/>
  <c r="N4" i="15"/>
  <c r="N7" i="15"/>
  <c r="M5" i="13"/>
  <c r="N5" i="14"/>
  <c r="N6" i="15"/>
  <c r="N6" i="14"/>
  <c r="M6" i="13"/>
  <c r="N4" i="14"/>
  <c r="K4" i="12"/>
  <c r="K6" i="12"/>
  <c r="K5" i="12"/>
  <c r="D15" i="17"/>
  <c r="D16" i="17" s="1"/>
  <c r="M3" i="12"/>
  <c r="M7" i="12"/>
  <c r="M5" i="12"/>
  <c r="M4" i="12"/>
  <c r="M6" i="12"/>
  <c r="L6" i="14"/>
  <c r="L7" i="14"/>
  <c r="L5" i="14"/>
  <c r="L4" i="14"/>
  <c r="L3" i="14"/>
  <c r="M5" i="10"/>
  <c r="M4" i="10"/>
  <c r="D5" i="12"/>
  <c r="D5" i="13"/>
  <c r="D4" i="12"/>
  <c r="D4" i="13"/>
  <c r="C29" i="5" l="1"/>
  <c r="F29" i="5"/>
  <c r="D5" i="15"/>
  <c r="E29" i="5"/>
  <c r="D5" i="14"/>
  <c r="D13" i="5"/>
  <c r="D29" i="5"/>
  <c r="C38" i="4"/>
  <c r="D38" i="4"/>
  <c r="E38" i="4"/>
  <c r="F38" i="4"/>
  <c r="B38" i="4"/>
  <c r="D25" i="5"/>
  <c r="E25" i="5"/>
  <c r="F25" i="5"/>
  <c r="B25" i="5"/>
  <c r="F13" i="5"/>
  <c r="E13" i="5"/>
  <c r="C13" i="5"/>
  <c r="B13" i="5"/>
  <c r="C12" i="9" l="1"/>
  <c r="D12" i="9"/>
  <c r="E12" i="9"/>
  <c r="F12" i="9"/>
  <c r="B12" i="9"/>
  <c r="F13" i="9" l="1"/>
  <c r="C13" i="9"/>
  <c r="D13" i="9"/>
  <c r="E13" i="9"/>
  <c r="B7" i="4"/>
  <c r="C7" i="4"/>
  <c r="D7" i="4"/>
  <c r="E7" i="4"/>
  <c r="F7" i="4"/>
  <c r="C6" i="4"/>
  <c r="D6" i="4"/>
  <c r="E6" i="4"/>
  <c r="F6" i="4"/>
  <c r="B6" i="4"/>
  <c r="B5" i="4"/>
  <c r="F8" i="4" l="1"/>
  <c r="F19" i="9"/>
  <c r="E8" i="4"/>
  <c r="E19" i="9"/>
  <c r="D8" i="4"/>
  <c r="D19" i="9"/>
  <c r="B8" i="4"/>
  <c r="C8" i="4"/>
  <c r="C19" i="9"/>
  <c r="C5" i="4"/>
  <c r="D5" i="4"/>
  <c r="E5" i="4"/>
  <c r="F5" i="4"/>
  <c r="B11" i="4"/>
  <c r="B13" i="4" s="1"/>
  <c r="C11" i="4"/>
  <c r="C20" i="9" s="1"/>
  <c r="D11" i="4"/>
  <c r="D44" i="4" s="1"/>
  <c r="N5" i="16" s="1"/>
  <c r="E11" i="4"/>
  <c r="E20" i="9" s="1"/>
  <c r="F11" i="4"/>
  <c r="B12" i="4"/>
  <c r="C12" i="4"/>
  <c r="D12" i="4"/>
  <c r="E12" i="4"/>
  <c r="F12" i="4"/>
  <c r="B16" i="4"/>
  <c r="B18" i="4" s="1"/>
  <c r="C16" i="4"/>
  <c r="D16" i="4"/>
  <c r="E16" i="4"/>
  <c r="F16" i="4"/>
  <c r="F44" i="4" s="1"/>
  <c r="P5" i="16" s="1"/>
  <c r="B17" i="4"/>
  <c r="C17" i="4"/>
  <c r="D17" i="4"/>
  <c r="E17" i="4"/>
  <c r="F17" i="4"/>
  <c r="B15" i="4"/>
  <c r="C28" i="4"/>
  <c r="C22" i="9" s="1"/>
  <c r="D28" i="4"/>
  <c r="D22" i="9" s="1"/>
  <c r="E28" i="4"/>
  <c r="E22" i="9" s="1"/>
  <c r="F28" i="4"/>
  <c r="F22" i="9" s="1"/>
  <c r="C29" i="4"/>
  <c r="C39" i="4" s="1"/>
  <c r="D29" i="4"/>
  <c r="D39" i="4" s="1"/>
  <c r="E29" i="4"/>
  <c r="E39" i="4" s="1"/>
  <c r="F29" i="4"/>
  <c r="F39" i="4" s="1"/>
  <c r="C33" i="4"/>
  <c r="C40" i="4" s="1"/>
  <c r="D33" i="4"/>
  <c r="D40" i="4" s="1"/>
  <c r="E33" i="4"/>
  <c r="E40" i="4" s="1"/>
  <c r="F33" i="4"/>
  <c r="F40" i="4" s="1"/>
  <c r="N55" i="3"/>
  <c r="E27" i="4" s="1"/>
  <c r="H63" i="3"/>
  <c r="D13" i="15" s="1"/>
  <c r="H60" i="3"/>
  <c r="D13" i="14" s="1"/>
  <c r="C63" i="3"/>
  <c r="C60" i="3"/>
  <c r="E58" i="3"/>
  <c r="E57" i="3"/>
  <c r="E43" i="3"/>
  <c r="E44" i="3"/>
  <c r="E45" i="3"/>
  <c r="E46" i="3"/>
  <c r="E47" i="3"/>
  <c r="E48" i="3"/>
  <c r="E49" i="3"/>
  <c r="E51" i="3"/>
  <c r="E52" i="3"/>
  <c r="E53" i="3"/>
  <c r="E54" i="3"/>
  <c r="E42" i="3"/>
  <c r="E39" i="3"/>
  <c r="E35" i="3"/>
  <c r="E36" i="3"/>
  <c r="E37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9" i="3"/>
  <c r="E30" i="3"/>
  <c r="E31" i="3"/>
  <c r="E32" i="3"/>
  <c r="E33" i="3"/>
  <c r="E34" i="3"/>
  <c r="E8" i="3"/>
  <c r="B34" i="6"/>
  <c r="B10" i="4" s="1"/>
  <c r="C11" i="6"/>
  <c r="C12" i="6" s="1"/>
  <c r="C15" i="6" s="1"/>
  <c r="N37" i="12" s="1"/>
  <c r="F25" i="6"/>
  <c r="F5" i="9" s="1"/>
  <c r="F11" i="6"/>
  <c r="F12" i="6" s="1"/>
  <c r="F15" i="6" s="1"/>
  <c r="O37" i="15" s="1"/>
  <c r="E25" i="6"/>
  <c r="E5" i="9" s="1"/>
  <c r="E11" i="6"/>
  <c r="E12" i="6" s="1"/>
  <c r="E15" i="6" s="1"/>
  <c r="O37" i="14" s="1"/>
  <c r="C25" i="6"/>
  <c r="C5" i="9" s="1"/>
  <c r="D25" i="6"/>
  <c r="D5" i="9" s="1"/>
  <c r="D11" i="6"/>
  <c r="D12" i="6" s="1"/>
  <c r="D15" i="6" s="1"/>
  <c r="N37" i="13" s="1"/>
  <c r="B29" i="6"/>
  <c r="B15" i="6"/>
  <c r="N38" i="10" s="1"/>
  <c r="B25" i="6"/>
  <c r="L6" i="7"/>
  <c r="L7" i="7"/>
  <c r="L8" i="7"/>
  <c r="L9" i="7"/>
  <c r="L10" i="7"/>
  <c r="L11" i="7"/>
  <c r="L12" i="7"/>
  <c r="L13" i="7"/>
  <c r="L14" i="7"/>
  <c r="L5" i="7"/>
  <c r="K6" i="7"/>
  <c r="K7" i="7"/>
  <c r="K8" i="7"/>
  <c r="K9" i="7"/>
  <c r="K10" i="7"/>
  <c r="K11" i="7"/>
  <c r="K12" i="7"/>
  <c r="K13" i="7"/>
  <c r="K14" i="7"/>
  <c r="K5" i="7"/>
  <c r="C15" i="7"/>
  <c r="C15" i="4" s="1"/>
  <c r="D15" i="7"/>
  <c r="D8" i="13" s="1"/>
  <c r="E15" i="7"/>
  <c r="D8" i="14" s="1"/>
  <c r="F15" i="7"/>
  <c r="D8" i="15" s="1"/>
  <c r="B15" i="7"/>
  <c r="D7" i="8"/>
  <c r="J11" i="8"/>
  <c r="L11" i="8"/>
  <c r="I11" i="8"/>
  <c r="B6" i="8" s="1"/>
  <c r="B7" i="8" s="1"/>
  <c r="E63" i="3" l="1"/>
  <c r="D32" i="6"/>
  <c r="B22" i="4"/>
  <c r="C44" i="4"/>
  <c r="M5" i="16" s="1"/>
  <c r="E44" i="4"/>
  <c r="O5" i="16" s="1"/>
  <c r="E60" i="3"/>
  <c r="F13" i="4"/>
  <c r="F20" i="9"/>
  <c r="F23" i="9" s="1"/>
  <c r="D32" i="4"/>
  <c r="D14" i="13"/>
  <c r="D13" i="8"/>
  <c r="L15" i="7"/>
  <c r="M15" i="7" s="1"/>
  <c r="C32" i="6"/>
  <c r="D13" i="13"/>
  <c r="M55" i="3"/>
  <c r="D27" i="4" s="1"/>
  <c r="F15" i="4"/>
  <c r="C18" i="4"/>
  <c r="C21" i="9"/>
  <c r="B20" i="4"/>
  <c r="D13" i="10"/>
  <c r="B13" i="8"/>
  <c r="B14" i="9"/>
  <c r="B7" i="9"/>
  <c r="F32" i="6"/>
  <c r="O55" i="3"/>
  <c r="F27" i="4" s="1"/>
  <c r="E15" i="4"/>
  <c r="F18" i="4"/>
  <c r="F21" i="9"/>
  <c r="D13" i="4"/>
  <c r="D20" i="9"/>
  <c r="C23" i="9"/>
  <c r="D23" i="9"/>
  <c r="C22" i="8"/>
  <c r="C23" i="8" s="1"/>
  <c r="C14" i="9" s="1"/>
  <c r="C15" i="9" s="1"/>
  <c r="C6" i="8"/>
  <c r="C7" i="8" s="1"/>
  <c r="D18" i="4"/>
  <c r="D21" i="9"/>
  <c r="F7" i="8"/>
  <c r="F7" i="9" s="1"/>
  <c r="E22" i="8"/>
  <c r="E23" i="8" s="1"/>
  <c r="E14" i="9" s="1"/>
  <c r="E6" i="8"/>
  <c r="E7" i="8" s="1"/>
  <c r="K15" i="7"/>
  <c r="B32" i="6"/>
  <c r="C26" i="6"/>
  <c r="C29" i="6" s="1"/>
  <c r="N38" i="12" s="1"/>
  <c r="B5" i="9"/>
  <c r="E32" i="6"/>
  <c r="D13" i="12"/>
  <c r="L55" i="3"/>
  <c r="C27" i="4" s="1"/>
  <c r="B32" i="4"/>
  <c r="D15" i="4"/>
  <c r="E18" i="4"/>
  <c r="E21" i="9"/>
  <c r="E23" i="9" s="1"/>
  <c r="F15" i="9"/>
  <c r="D7" i="9"/>
  <c r="D15" i="9"/>
  <c r="E20" i="4"/>
  <c r="E13" i="4"/>
  <c r="E22" i="4" s="1"/>
  <c r="C20" i="4"/>
  <c r="C13" i="4"/>
  <c r="D20" i="4"/>
  <c r="F20" i="4"/>
  <c r="E26" i="6"/>
  <c r="E29" i="6" s="1"/>
  <c r="O38" i="14" s="1"/>
  <c r="F26" i="6"/>
  <c r="F29" i="6" s="1"/>
  <c r="O38" i="15" s="1"/>
  <c r="D26" i="6"/>
  <c r="D29" i="6" s="1"/>
  <c r="N38" i="13" s="1"/>
  <c r="D6" i="9" l="1"/>
  <c r="C6" i="9"/>
  <c r="C32" i="4"/>
  <c r="D14" i="12"/>
  <c r="C13" i="8"/>
  <c r="C7" i="9"/>
  <c r="F33" i="6"/>
  <c r="F34" i="6" s="1"/>
  <c r="F10" i="4" s="1"/>
  <c r="C33" i="6"/>
  <c r="C34" i="6" s="1"/>
  <c r="C10" i="4" s="1"/>
  <c r="D33" i="6"/>
  <c r="D34" i="6" s="1"/>
  <c r="D10" i="4" s="1"/>
  <c r="E33" i="6"/>
  <c r="E34" i="6" s="1"/>
  <c r="E10" i="4" s="1"/>
  <c r="F22" i="4"/>
  <c r="D22" i="4"/>
  <c r="D8" i="9"/>
  <c r="F32" i="4"/>
  <c r="D14" i="15"/>
  <c r="F13" i="8"/>
  <c r="C22" i="4"/>
  <c r="D14" i="14"/>
  <c r="E13" i="8"/>
  <c r="F6" i="9"/>
  <c r="F8" i="9" s="1"/>
  <c r="E6" i="9"/>
  <c r="E15" i="9"/>
  <c r="E7" i="9"/>
  <c r="E8" i="9" s="1"/>
  <c r="E32" i="4"/>
  <c r="C8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Simen</author>
  </authors>
  <commentList>
    <comment ref="B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Simen:</t>
        </r>
        <r>
          <rPr>
            <sz val="9"/>
            <color indexed="81"/>
            <rFont val="Tahoma"/>
            <family val="2"/>
          </rPr>
          <t xml:space="preserve">
SUM prosjektkostnad og strakstiltak og fornyelsestiltak, uten ventespor. </t>
        </r>
      </text>
    </comment>
    <comment ref="I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Simen:</t>
        </r>
        <r>
          <rPr>
            <sz val="9"/>
            <color indexed="81"/>
            <rFont val="Tahoma"/>
            <family val="2"/>
          </rPr>
          <t xml:space="preserve">
Etter justeringer i UA. </t>
        </r>
      </text>
    </comment>
    <comment ref="K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 xml:space="preserve">Simen:
</t>
        </r>
        <r>
          <rPr>
            <sz val="9"/>
            <color indexed="81"/>
            <rFont val="Tahoma"/>
            <family val="2"/>
          </rPr>
          <t xml:space="preserve">Basiskalkyle fra kostnadsestimat lagt til grunn i UA. </t>
        </r>
      </text>
    </comment>
    <comment ref="M8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Simen:</t>
        </r>
        <r>
          <rPr>
            <sz val="9"/>
            <color indexed="81"/>
            <rFont val="Tahoma"/>
            <family val="2"/>
          </rPr>
          <t xml:space="preserve">
Basiskalkyle fra kostnadsestimat lagt til grunn i UA. </t>
        </r>
      </text>
    </comment>
  </commentList>
</comments>
</file>

<file path=xl/sharedStrings.xml><?xml version="1.0" encoding="utf-8"?>
<sst xmlns="http://schemas.openxmlformats.org/spreadsheetml/2006/main" count="598" uniqueCount="221">
  <si>
    <t>Skala</t>
  </si>
  <si>
    <t xml:space="preserve">Kommentar: </t>
  </si>
  <si>
    <t>Dimensjonerende kapasitet</t>
  </si>
  <si>
    <t>Referanse</t>
  </si>
  <si>
    <t>Konsept 3.7</t>
  </si>
  <si>
    <t>Impl. 3.7</t>
  </si>
  <si>
    <t>Konsept 4.8.3</t>
  </si>
  <si>
    <t>Impl. 4.8.3</t>
  </si>
  <si>
    <t>Score</t>
  </si>
  <si>
    <t>Driftseffektivitet</t>
  </si>
  <si>
    <t>Driftssikkerhet</t>
  </si>
  <si>
    <t>Vekting</t>
  </si>
  <si>
    <t>Kapasitet</t>
  </si>
  <si>
    <t>Rangering</t>
  </si>
  <si>
    <t>&lt;1</t>
  </si>
  <si>
    <t xml:space="preserve"> </t>
  </si>
  <si>
    <t xml:space="preserve">SUM: </t>
  </si>
  <si>
    <t xml:space="preserve">Rammebetingelser: </t>
  </si>
  <si>
    <t>Risiko i gjennomføring</t>
  </si>
  <si>
    <t>Forventet kostnad</t>
  </si>
  <si>
    <t>påslag fra UA</t>
  </si>
  <si>
    <t>2040 Dimensjonerende kapasitet</t>
  </si>
  <si>
    <t>2040, pst. av effektmål 800 000 TEU</t>
  </si>
  <si>
    <t>2060 Dimensjonerende kapasitet</t>
  </si>
  <si>
    <t>2060, pst. av effektmål 800 000 TEU</t>
  </si>
  <si>
    <t xml:space="preserve">Score </t>
  </si>
  <si>
    <t xml:space="preserve">Faser: </t>
  </si>
  <si>
    <t>Strakstiltak</t>
  </si>
  <si>
    <t>Score:</t>
  </si>
  <si>
    <t>Investeringskostnad iht. R09</t>
  </si>
  <si>
    <t>SUM forventet kostnad</t>
  </si>
  <si>
    <t>Basiskalkyle Alnabru, 10.09.18</t>
  </si>
  <si>
    <t>Kommentar</t>
  </si>
  <si>
    <t>K 3.7</t>
  </si>
  <si>
    <t>K 4.8.3</t>
  </si>
  <si>
    <t>Basis</t>
  </si>
  <si>
    <t>P50</t>
  </si>
  <si>
    <t>Pst. påslag</t>
  </si>
  <si>
    <t xml:space="preserve">UA, mill. kr. </t>
  </si>
  <si>
    <t>Sporplan</t>
  </si>
  <si>
    <t>Signal</t>
  </si>
  <si>
    <t>Trafikkstyring</t>
  </si>
  <si>
    <t>Veitrafikk</t>
  </si>
  <si>
    <t>Håndtering</t>
  </si>
  <si>
    <t>Farlig gods</t>
  </si>
  <si>
    <t>Ekstern påvirkning</t>
  </si>
  <si>
    <t>vekt</t>
  </si>
  <si>
    <t>Kjørestrøm</t>
  </si>
  <si>
    <t>Snøhåndtering</t>
  </si>
  <si>
    <t>Vognvedlikehold</t>
  </si>
  <si>
    <t>Beste score</t>
  </si>
  <si>
    <t>Verste score</t>
  </si>
  <si>
    <t>Minimum score</t>
  </si>
  <si>
    <t>Maksimum score</t>
  </si>
  <si>
    <t>TEU</t>
  </si>
  <si>
    <t xml:space="preserve">TEU </t>
  </si>
  <si>
    <t>Kostnader per TEU</t>
  </si>
  <si>
    <t>Jernbane</t>
  </si>
  <si>
    <t>Terminal</t>
  </si>
  <si>
    <t>Vei</t>
  </si>
  <si>
    <t>Faste kostnader</t>
  </si>
  <si>
    <t>Pst. vis endring fra referanse</t>
  </si>
  <si>
    <t>Antatt forbedring referanse fra dagens situasjon</t>
  </si>
  <si>
    <t>Anslått effektivisering fra dagens situasjon</t>
  </si>
  <si>
    <t>Snitt 2040 og 2060</t>
  </si>
  <si>
    <t>Grunnlag</t>
  </si>
  <si>
    <t xml:space="preserve">Pst. </t>
  </si>
  <si>
    <t>Samlet inkl. effektivisering fra dagens situasjon</t>
  </si>
  <si>
    <t>&gt;25</t>
  </si>
  <si>
    <t>&lt; 0</t>
  </si>
  <si>
    <t>Anslått, se beskrivelser i R13</t>
  </si>
  <si>
    <t xml:space="preserve">Skala: </t>
  </si>
  <si>
    <t xml:space="preserve">Skala </t>
  </si>
  <si>
    <t>3,5-4</t>
  </si>
  <si>
    <t>Forberedende arbeider fullført</t>
  </si>
  <si>
    <t>Impl. Konsept er ferdig</t>
  </si>
  <si>
    <t xml:space="preserve">Prosjektet er ferdigbygget. </t>
  </si>
  <si>
    <t>Implementeringskonseptet ferdig</t>
  </si>
  <si>
    <t>Score impl. 4.8.3</t>
  </si>
  <si>
    <t>Score impl. 3.7</t>
  </si>
  <si>
    <t>Score hovedkonsept 3.7</t>
  </si>
  <si>
    <t>Score hovedkonsept 4.8.3</t>
  </si>
  <si>
    <t xml:space="preserve">Justerte verdier 3.7: </t>
  </si>
  <si>
    <t>Rangering utbyggingskonsepter</t>
  </si>
  <si>
    <t>Hovedkonsepter</t>
  </si>
  <si>
    <t>Implementeringskonsepter</t>
  </si>
  <si>
    <t xml:space="preserve">Rangering: </t>
  </si>
  <si>
    <t>30-39,9</t>
  </si>
  <si>
    <t>40-49,9</t>
  </si>
  <si>
    <t>50-59,9</t>
  </si>
  <si>
    <t>60-69,9</t>
  </si>
  <si>
    <t>70-79,9</t>
  </si>
  <si>
    <t>80-89,9</t>
  </si>
  <si>
    <t>&gt;90</t>
  </si>
  <si>
    <t xml:space="preserve">RAMS: </t>
  </si>
  <si>
    <t>Skala: (invertert)</t>
  </si>
  <si>
    <t xml:space="preserve"> 0 - 4,9</t>
  </si>
  <si>
    <t xml:space="preserve"> 5-9,9</t>
  </si>
  <si>
    <t xml:space="preserve"> 10 - 14,9</t>
  </si>
  <si>
    <t>15-19,9</t>
  </si>
  <si>
    <t>20-24,9</t>
  </si>
  <si>
    <t>1,0-1,49</t>
  </si>
  <si>
    <t>1,5-1,99</t>
  </si>
  <si>
    <t>2,0-2,49</t>
  </si>
  <si>
    <t>2,5-2,99</t>
  </si>
  <si>
    <t>3,0-3,49</t>
  </si>
  <si>
    <t xml:space="preserve">Resultat </t>
  </si>
  <si>
    <t>Evalueringsmatrise</t>
  </si>
  <si>
    <t xml:space="preserve">SUM score: </t>
  </si>
  <si>
    <t>P50 mill. kroner</t>
  </si>
  <si>
    <t>Rangering utbygging</t>
  </si>
  <si>
    <t>Effektmål:</t>
  </si>
  <si>
    <t>Score på skala</t>
  </si>
  <si>
    <t>Snitt av 2040 og 2060</t>
  </si>
  <si>
    <t xml:space="preserve">Resultat, pst.  </t>
  </si>
  <si>
    <t>Sporkapasitet (TEU/år)</t>
  </si>
  <si>
    <t>Håndteringskapasitet (TEU/år)</t>
  </si>
  <si>
    <t>Veg- og gatekapasitet (TEU/år)</t>
  </si>
  <si>
    <t>Løft (TEU/år)</t>
  </si>
  <si>
    <t>Lastespor (TEU/år)</t>
  </si>
  <si>
    <t>Dimensjonerende snittkapasitet</t>
  </si>
  <si>
    <t>Score med vekting</t>
  </si>
  <si>
    <t xml:space="preserve">Kapasitet: </t>
  </si>
  <si>
    <t>Driftseffektivitet:</t>
  </si>
  <si>
    <t>Driftssikkerhet:</t>
  </si>
  <si>
    <t xml:space="preserve">SUM score med vekting: </t>
  </si>
  <si>
    <t xml:space="preserve">Rangering med vekting: </t>
  </si>
  <si>
    <t>Ytelse per investert krone</t>
  </si>
  <si>
    <t>Anslåtte kostnader per håndtert TEU på terminal</t>
  </si>
  <si>
    <t>Endring i forhold til referanse</t>
  </si>
  <si>
    <t>Investeringskostnad, P50</t>
  </si>
  <si>
    <t>Forholdstall</t>
  </si>
  <si>
    <t>Rangering:</t>
  </si>
  <si>
    <t>Analyser</t>
  </si>
  <si>
    <t>Økning kapasitet per investert krone</t>
  </si>
  <si>
    <t>fra Driftseffektivitetsanalysen, 2060</t>
  </si>
  <si>
    <t>fra kapasitetsanalysen, 2060</t>
  </si>
  <si>
    <t>&gt;110</t>
  </si>
  <si>
    <t>100-109,9</t>
  </si>
  <si>
    <t>90-99,9</t>
  </si>
  <si>
    <t>Skala:</t>
  </si>
  <si>
    <t>Oppsummering</t>
  </si>
  <si>
    <t>Tre effektmål - rangering</t>
  </si>
  <si>
    <t>Rangering risiko i gjennomføring</t>
  </si>
  <si>
    <t>løft</t>
  </si>
  <si>
    <t>lastespor</t>
  </si>
  <si>
    <t>depot semi</t>
  </si>
  <si>
    <t>depot cont</t>
  </si>
  <si>
    <t>Ref</t>
  </si>
  <si>
    <t>Depot container/vekselflak (TEU/år)</t>
  </si>
  <si>
    <t>Depot semihengere (TEU/år)</t>
  </si>
  <si>
    <t>snitt 2040 og 2060</t>
  </si>
  <si>
    <t>Rangering kostnad utbyggingskonsepter</t>
  </si>
  <si>
    <t xml:space="preserve">Anvendt påslag for forventet tillegg fra UA. Noen justeringer i kalkyle siden UA, men marginal eller ingen effekt på usikkerhetsdrivere og prosentvis påslag. </t>
  </si>
  <si>
    <t>Justert kostnadene ved å trekke ut krankostnader, slik at ikke blir dobbelttelling mot driftseffektivitetsanalysen</t>
  </si>
  <si>
    <t>Kalkyle uten krankostnad m påslag</t>
  </si>
  <si>
    <t>Brukes i analyse, for å unngå dobbelttelling mot driftseffektivitet</t>
  </si>
  <si>
    <t>Basis uten krankostnader</t>
  </si>
  <si>
    <t>SUM forventet kostnad uten kran</t>
  </si>
  <si>
    <t>Driftssikkerhet/RAMS</t>
  </si>
  <si>
    <t>Risiko i utbygging</t>
  </si>
  <si>
    <t>Sum av score for utbyggingskonsepter, unntatt kostnader</t>
  </si>
  <si>
    <t xml:space="preserve">Se beskrivelser </t>
  </si>
  <si>
    <t>pst.</t>
  </si>
  <si>
    <t>Intervall pst.</t>
  </si>
  <si>
    <t>RAMS-score</t>
  </si>
  <si>
    <t>Forventet tillegg i kroner</t>
  </si>
  <si>
    <t>Referansealternativet</t>
  </si>
  <si>
    <t>Verdi</t>
  </si>
  <si>
    <t>N.A.</t>
  </si>
  <si>
    <t>Forventet kostnad (P50)</t>
  </si>
  <si>
    <t>%</t>
  </si>
  <si>
    <t>År</t>
  </si>
  <si>
    <t>MNOK</t>
  </si>
  <si>
    <t>Sum</t>
  </si>
  <si>
    <t>Konsept 3.7 impl.</t>
  </si>
  <si>
    <t>Kapasitet funksjoner [2040]</t>
  </si>
  <si>
    <t>Kapasitet funksjoner [2060]</t>
  </si>
  <si>
    <t xml:space="preserve">Vei </t>
  </si>
  <si>
    <t>Dagens situasjon</t>
  </si>
  <si>
    <t>Reduksjon i driftskostnader</t>
  </si>
  <si>
    <t>Forventet kapasitet [2040]</t>
  </si>
  <si>
    <t>Forventet kapasitet [2060]</t>
  </si>
  <si>
    <t>Spor</t>
  </si>
  <si>
    <t>Lastespor</t>
  </si>
  <si>
    <t>Depot semihengere</t>
  </si>
  <si>
    <t>Depot container/vekselflak</t>
  </si>
  <si>
    <t>Veg- og gatekapasitet</t>
  </si>
  <si>
    <t>Depot
semihengere</t>
  </si>
  <si>
    <t>Depot
container/vekselflak</t>
  </si>
  <si>
    <t>Veg- og gate</t>
  </si>
  <si>
    <t xml:space="preserve">Depot semihengere </t>
  </si>
  <si>
    <t>Sporkapasitet</t>
  </si>
  <si>
    <t xml:space="preserve">Depot container/vekselflak </t>
  </si>
  <si>
    <t xml:space="preserve">Sporkapasitet </t>
  </si>
  <si>
    <t xml:space="preserve">Veg- og gatekapasitet </t>
  </si>
  <si>
    <t>Rangering investeringskostnad utbyggingskonsepter</t>
  </si>
  <si>
    <t>Sum av scorene for utbyggingskonseptene, unntatt investeringskostnader</t>
  </si>
  <si>
    <t>Samlet score</t>
  </si>
  <si>
    <t>Investeringskostnad 1000 mrd. nok (P50)</t>
  </si>
  <si>
    <t>Sporkapasitet (TEU/år) 2. flaskehals</t>
  </si>
  <si>
    <t>Sporkapasitet (TEU/år) 3. flaskehals</t>
  </si>
  <si>
    <t>Flaskehals 1</t>
  </si>
  <si>
    <t>Flaskehals 2</t>
  </si>
  <si>
    <t>Flaskehals 3</t>
  </si>
  <si>
    <t>Sporforbindelse</t>
  </si>
  <si>
    <t>Funksjon</t>
  </si>
  <si>
    <t>TEU/år</t>
  </si>
  <si>
    <t>Veg og gate</t>
  </si>
  <si>
    <t>Hensetting virkedag</t>
  </si>
  <si>
    <t>Antall spor virkedag</t>
  </si>
  <si>
    <t>Antall spor helg</t>
  </si>
  <si>
    <t>Sporkapasitet (TEU/år) 4. flaskehals</t>
  </si>
  <si>
    <t>SUM av score</t>
  </si>
  <si>
    <t>Omlasting (TEU/år)</t>
  </si>
  <si>
    <t>Omlastingskapasitet (TEU/år)</t>
  </si>
  <si>
    <t>Omlastingsskapasitet (TEU/år)</t>
  </si>
  <si>
    <t>Omlasting</t>
  </si>
  <si>
    <t>Omlasting (løft/lastespor)</t>
  </si>
  <si>
    <t>sjekke denne på nytt!</t>
  </si>
  <si>
    <t>Håndteringskapasitet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</si>
</sst>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\ %"/>
    <numFmt numFmtId="165" formatCode="_-* #,##0_-;\-* #,##0_-;_-* &quot;-&quot;??_-;_-@_-"/>
    <numFmt numFmtId="166" formatCode="0.0"/>
    <numFmt numFmtId="167" formatCode="_-* #,##0.0_-;\-* #,##0.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B8CCE4"/>
      </left>
      <right style="medium">
        <color rgb="FFB8CCE4"/>
      </right>
      <top/>
      <bottom style="medium">
        <color rgb="FFB8CCE4"/>
      </bottom>
      <diagonal/>
    </border>
    <border>
      <left style="medium">
        <color rgb="FFB8CCE4"/>
      </left>
      <right style="medium">
        <color rgb="FFB8CCE4"/>
      </right>
      <top style="medium">
        <color rgb="FFB8CCE4"/>
      </top>
      <bottom style="thick">
        <color rgb="FF95B3D7"/>
      </bottom>
      <diagonal/>
    </border>
    <border>
      <left/>
      <right style="medium">
        <color rgb="FFB8CCE4"/>
      </right>
      <top style="medium">
        <color rgb="FFB8CCE4"/>
      </top>
      <bottom style="thick">
        <color rgb="FF95B3D7"/>
      </bottom>
      <diagonal/>
    </border>
    <border>
      <left/>
      <right style="medium">
        <color rgb="FFB8CCE4"/>
      </right>
      <top/>
      <bottom style="medium">
        <color rgb="FFB8CCE4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/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9" fontId="0" fillId="0" borderId="0" xfId="1" applyFont="1"/>
    <xf numFmtId="2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5" fontId="0" fillId="0" borderId="0" xfId="2" applyNumberFormat="1" applyFont="1"/>
    <xf numFmtId="164" fontId="0" fillId="0" borderId="0" xfId="0" applyNumberFormat="1"/>
    <xf numFmtId="0" fontId="0" fillId="0" borderId="2" xfId="0" applyBorder="1"/>
    <xf numFmtId="16" fontId="0" fillId="0" borderId="2" xfId="0" applyNumberFormat="1" applyBorder="1"/>
    <xf numFmtId="14" fontId="0" fillId="0" borderId="2" xfId="0" applyNumberFormat="1" applyBorder="1"/>
    <xf numFmtId="0" fontId="0" fillId="0" borderId="3" xfId="0" applyBorder="1"/>
    <xf numFmtId="0" fontId="0" fillId="0" borderId="4" xfId="0" applyBorder="1"/>
    <xf numFmtId="165" fontId="0" fillId="0" borderId="0" xfId="2" applyNumberFormat="1" applyFont="1" applyBorder="1"/>
    <xf numFmtId="165" fontId="0" fillId="0" borderId="5" xfId="2" applyNumberFormat="1" applyFont="1" applyBorder="1"/>
    <xf numFmtId="0" fontId="0" fillId="0" borderId="6" xfId="0" applyBorder="1"/>
    <xf numFmtId="164" fontId="0" fillId="0" borderId="7" xfId="1" applyNumberFormat="1" applyFont="1" applyBorder="1"/>
    <xf numFmtId="0" fontId="2" fillId="0" borderId="1" xfId="0" applyFont="1" applyBorder="1"/>
    <xf numFmtId="3" fontId="0" fillId="0" borderId="0" xfId="0" applyNumberFormat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9" fontId="2" fillId="0" borderId="0" xfId="1" applyFont="1"/>
    <xf numFmtId="9" fontId="0" fillId="0" borderId="0" xfId="1" applyNumberFormat="1" applyFont="1"/>
    <xf numFmtId="1" fontId="0" fillId="0" borderId="0" xfId="0" applyNumberFormat="1"/>
    <xf numFmtId="0" fontId="0" fillId="2" borderId="0" xfId="0" applyFill="1"/>
    <xf numFmtId="2" fontId="2" fillId="2" borderId="0" xfId="0" applyNumberFormat="1" applyFont="1" applyFill="1"/>
    <xf numFmtId="2" fontId="0" fillId="0" borderId="0" xfId="0" applyNumberFormat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" xfId="0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/>
    <xf numFmtId="0" fontId="8" fillId="0" borderId="0" xfId="0" applyFont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3" fillId="3" borderId="1" xfId="0" applyFont="1" applyFill="1" applyBorder="1" applyAlignment="1">
      <alignment wrapText="1"/>
    </xf>
    <xf numFmtId="164" fontId="3" fillId="3" borderId="2" xfId="0" applyNumberFormat="1" applyFont="1" applyFill="1" applyBorder="1"/>
    <xf numFmtId="164" fontId="3" fillId="3" borderId="3" xfId="0" applyNumberFormat="1" applyFont="1" applyFill="1" applyBorder="1"/>
    <xf numFmtId="2" fontId="0" fillId="3" borderId="0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5" fontId="3" fillId="3" borderId="1" xfId="2" applyNumberFormat="1" applyFont="1" applyFill="1" applyBorder="1" applyAlignment="1">
      <alignment horizontal="right"/>
    </xf>
    <xf numFmtId="165" fontId="3" fillId="3" borderId="2" xfId="2" applyNumberFormat="1" applyFont="1" applyFill="1" applyBorder="1" applyAlignment="1">
      <alignment horizontal="right"/>
    </xf>
    <xf numFmtId="165" fontId="3" fillId="3" borderId="3" xfId="2" applyNumberFormat="1" applyFont="1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165" fontId="0" fillId="0" borderId="0" xfId="0" applyNumberFormat="1"/>
    <xf numFmtId="0" fontId="0" fillId="0" borderId="0" xfId="0" applyFont="1" applyAlignment="1">
      <alignment horizontal="right"/>
    </xf>
    <xf numFmtId="166" fontId="0" fillId="0" borderId="0" xfId="0" applyNumberFormat="1"/>
    <xf numFmtId="166" fontId="0" fillId="0" borderId="5" xfId="0" applyNumberFormat="1" applyBorder="1"/>
    <xf numFmtId="166" fontId="0" fillId="0" borderId="8" xfId="0" applyNumberFormat="1" applyBorder="1"/>
    <xf numFmtId="0" fontId="3" fillId="0" borderId="0" xfId="0" applyFont="1" applyAlignment="1">
      <alignment horizontal="left"/>
    </xf>
    <xf numFmtId="0" fontId="0" fillId="4" borderId="0" xfId="0" applyFill="1"/>
    <xf numFmtId="10" fontId="0" fillId="0" borderId="0" xfId="1" applyNumberFormat="1" applyFont="1"/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0" fillId="0" borderId="5" xfId="0" applyBorder="1"/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1" xfId="0" applyBorder="1"/>
    <xf numFmtId="17" fontId="0" fillId="0" borderId="5" xfId="0" applyNumberFormat="1" applyBorder="1"/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16" fontId="0" fillId="0" borderId="0" xfId="0" applyNumberFormat="1"/>
    <xf numFmtId="165" fontId="1" fillId="0" borderId="0" xfId="2" applyNumberFormat="1" applyFont="1"/>
    <xf numFmtId="165" fontId="0" fillId="0" borderId="0" xfId="2" applyNumberFormat="1" applyFont="1" applyFill="1"/>
    <xf numFmtId="0" fontId="13" fillId="4" borderId="0" xfId="0" applyFont="1" applyFill="1"/>
    <xf numFmtId="165" fontId="0" fillId="4" borderId="0" xfId="2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0" fontId="9" fillId="0" borderId="0" xfId="0" applyFont="1" applyAlignment="1">
      <alignment horizontal="left"/>
    </xf>
    <xf numFmtId="164" fontId="0" fillId="0" borderId="0" xfId="1" applyNumberFormat="1" applyFont="1"/>
    <xf numFmtId="165" fontId="0" fillId="0" borderId="0" xfId="2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165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horizontal="left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3" fontId="15" fillId="0" borderId="12" xfId="0" applyNumberFormat="1" applyFont="1" applyBorder="1" applyAlignment="1">
      <alignment horizontal="center" vertical="center" wrapText="1"/>
    </xf>
    <xf numFmtId="3" fontId="15" fillId="0" borderId="11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2" fillId="0" borderId="0" xfId="0" applyFont="1" applyAlignment="1">
      <alignment horizontal="left"/>
    </xf>
    <xf numFmtId="0" fontId="17" fillId="0" borderId="13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165" fontId="14" fillId="0" borderId="16" xfId="2" applyNumberFormat="1" applyFont="1" applyBorder="1" applyAlignment="1">
      <alignment horizontal="center" vertical="center" wrapText="1"/>
    </xf>
    <xf numFmtId="167" fontId="0" fillId="0" borderId="0" xfId="2" applyNumberFormat="1" applyFont="1"/>
    <xf numFmtId="0" fontId="0" fillId="0" borderId="0" xfId="0" applyFont="1" applyAlignment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165" fontId="0" fillId="0" borderId="0" xfId="0" applyNumberFormat="1" applyFill="1"/>
    <xf numFmtId="165" fontId="0" fillId="2" borderId="0" xfId="2" applyNumberFormat="1" applyFont="1" applyFill="1"/>
    <xf numFmtId="165" fontId="1" fillId="0" borderId="0" xfId="2" applyNumberFormat="1" applyFont="1" applyFill="1"/>
    <xf numFmtId="0" fontId="18" fillId="0" borderId="0" xfId="0" applyFont="1" applyAlignment="1">
      <alignment horizontal="right"/>
    </xf>
    <xf numFmtId="165" fontId="19" fillId="0" borderId="0" xfId="2" applyNumberFormat="1" applyFont="1"/>
    <xf numFmtId="165" fontId="0" fillId="0" borderId="0" xfId="2" applyNumberFormat="1" applyFont="1" applyAlignment="1">
      <alignment horizontal="right"/>
    </xf>
    <xf numFmtId="165" fontId="0" fillId="0" borderId="0" xfId="2" applyNumberFormat="1" applyFont="1" applyAlignment="1">
      <alignment horizontal="left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/>
    <xf numFmtId="165" fontId="0" fillId="5" borderId="0" xfId="2" applyNumberFormat="1" applyFont="1" applyFill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Referansealternativet
 [TEU per år]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'Sammenstilling Referanse'!$J$3</c:f>
              <c:strCache>
                <c:ptCount val="1"/>
                <c:pt idx="0">
                  <c:v>Kapasitet funksjoner [2040]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Referanse'!$I$4:$I$9</c15:sqref>
                  </c15:fullRef>
                </c:ext>
              </c:extLst>
              <c:f>('Sammenstilling Referanse'!$I$4:$I$5,'Sammenstilling Referanse'!$I$7:$I$9)</c:f>
              <c:strCache>
                <c:ptCount val="5"/>
                <c:pt idx="0">
                  <c:v>Spor</c:v>
                </c:pt>
                <c:pt idx="1">
                  <c:v>Omlasting (løft/lastespor)</c:v>
                </c:pt>
                <c:pt idx="2">
                  <c:v>Depot
semihengere</c:v>
                </c:pt>
                <c:pt idx="3">
                  <c:v>Depot
container/vekselflak</c:v>
                </c:pt>
                <c:pt idx="4">
                  <c:v>Veg- og gate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Referanse'!$J$4:$J$9</c15:sqref>
                  </c15:fullRef>
                </c:ext>
              </c:extLst>
              <c:f>('Sammenstilling Referanse'!$J$4:$J$5,'Sammenstilling Referanse'!$J$7:$J$9)</c:f>
              <c:numCache>
                <c:formatCode>#,##0</c:formatCode>
                <c:ptCount val="5"/>
                <c:pt idx="0">
                  <c:v>640000</c:v>
                </c:pt>
                <c:pt idx="1">
                  <c:v>708000</c:v>
                </c:pt>
                <c:pt idx="2">
                  <c:v>1248000</c:v>
                </c:pt>
                <c:pt idx="3">
                  <c:v>1104000</c:v>
                </c:pt>
                <c:pt idx="4">
                  <c:v>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9-4DE6-BFC3-59D0F5A244FF}"/>
            </c:ext>
          </c:extLst>
        </c:ser>
        <c:ser>
          <c:idx val="2"/>
          <c:order val="2"/>
          <c:tx>
            <c:strRef>
              <c:f>'Sammenstilling Referanse'!$L$3</c:f>
              <c:strCache>
                <c:ptCount val="1"/>
                <c:pt idx="0">
                  <c:v>Kapasitet funksjoner [2060]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Referanse'!$I$4:$I$9</c15:sqref>
                  </c15:fullRef>
                </c:ext>
              </c:extLst>
              <c:f>('Sammenstilling Referanse'!$I$4:$I$5,'Sammenstilling Referanse'!$I$7:$I$9)</c:f>
              <c:strCache>
                <c:ptCount val="5"/>
                <c:pt idx="0">
                  <c:v>Spor</c:v>
                </c:pt>
                <c:pt idx="1">
                  <c:v>Omlasting (løft/lastespor)</c:v>
                </c:pt>
                <c:pt idx="2">
                  <c:v>Depot
semihengere</c:v>
                </c:pt>
                <c:pt idx="3">
                  <c:v>Depot
container/vekselflak</c:v>
                </c:pt>
                <c:pt idx="4">
                  <c:v>Veg- og gate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Referanse'!$L$4:$L$9</c15:sqref>
                  </c15:fullRef>
                </c:ext>
              </c:extLst>
              <c:f>('Sammenstilling Referanse'!$L$4:$L$5,'Sammenstilling Referanse'!$L$7:$L$9)</c:f>
              <c:numCache>
                <c:formatCode>#,##0</c:formatCode>
                <c:ptCount val="5"/>
                <c:pt idx="0">
                  <c:v>815000</c:v>
                </c:pt>
                <c:pt idx="1">
                  <c:v>870000</c:v>
                </c:pt>
                <c:pt idx="2">
                  <c:v>1034000</c:v>
                </c:pt>
                <c:pt idx="3">
                  <c:v>946000</c:v>
                </c:pt>
                <c:pt idx="4">
                  <c:v>650000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D9-4DE6-BFC3-59D0F5A24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900352"/>
        <c:axId val="450900744"/>
      </c:barChart>
      <c:lineChart>
        <c:grouping val="standard"/>
        <c:varyColors val="0"/>
        <c:ser>
          <c:idx val="1"/>
          <c:order val="1"/>
          <c:tx>
            <c:strRef>
              <c:f>'Sammenstilling Referanse'!$K$3</c:f>
              <c:strCache>
                <c:ptCount val="1"/>
                <c:pt idx="0">
                  <c:v>Forventet kapasitet [2040]</c:v>
                </c:pt>
              </c:strCache>
            </c:strRef>
          </c:tx>
          <c:spPr>
            <a:ln w="28575" cap="rnd">
              <a:solidFill>
                <a:schemeClr val="accent5">
                  <a:shade val="86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Referanse'!$I$4:$I$9</c15:sqref>
                  </c15:fullRef>
                </c:ext>
              </c:extLst>
              <c:f>('Sammenstilling Referanse'!$I$4:$I$5,'Sammenstilling Referanse'!$I$7:$I$9)</c:f>
              <c:strCache>
                <c:ptCount val="5"/>
                <c:pt idx="0">
                  <c:v>Spor</c:v>
                </c:pt>
                <c:pt idx="1">
                  <c:v>Omlasting (løft/lastespor)</c:v>
                </c:pt>
                <c:pt idx="2">
                  <c:v>Depot
semihengere</c:v>
                </c:pt>
                <c:pt idx="3">
                  <c:v>Depot
container/vekselflak</c:v>
                </c:pt>
                <c:pt idx="4">
                  <c:v>Veg- og gate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Referanse'!$K$4:$K$9</c15:sqref>
                  </c15:fullRef>
                </c:ext>
              </c:extLst>
              <c:f>('Sammenstilling Referanse'!$K$4:$K$5,'Sammenstilling Referanse'!$K$7:$K$9)</c:f>
              <c:numCache>
                <c:formatCode>#,##0</c:formatCode>
                <c:ptCount val="5"/>
                <c:pt idx="0">
                  <c:v>600000</c:v>
                </c:pt>
                <c:pt idx="1">
                  <c:v>600000</c:v>
                </c:pt>
                <c:pt idx="2">
                  <c:v>600000</c:v>
                </c:pt>
                <c:pt idx="3">
                  <c:v>600000</c:v>
                </c:pt>
                <c:pt idx="4">
                  <c:v>600000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D9-4DE6-BFC3-59D0F5A244FF}"/>
            </c:ext>
          </c:extLst>
        </c:ser>
        <c:ser>
          <c:idx val="3"/>
          <c:order val="3"/>
          <c:tx>
            <c:strRef>
              <c:f>'Sammenstilling Referanse'!$M$3</c:f>
              <c:strCache>
                <c:ptCount val="1"/>
                <c:pt idx="0">
                  <c:v>Forventet kapasitet [2060]</c:v>
                </c:pt>
              </c:strCache>
            </c:strRef>
          </c:tx>
          <c:spPr>
            <a:ln w="28575" cap="rnd">
              <a:solidFill>
                <a:schemeClr val="accent5">
                  <a:tint val="58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Referanse'!$I$4:$I$9</c15:sqref>
                  </c15:fullRef>
                </c:ext>
              </c:extLst>
              <c:f>('Sammenstilling Referanse'!$I$4:$I$5,'Sammenstilling Referanse'!$I$7:$I$9)</c:f>
              <c:strCache>
                <c:ptCount val="5"/>
                <c:pt idx="0">
                  <c:v>Spor</c:v>
                </c:pt>
                <c:pt idx="1">
                  <c:v>Omlasting (løft/lastespor)</c:v>
                </c:pt>
                <c:pt idx="2">
                  <c:v>Depot
semihengere</c:v>
                </c:pt>
                <c:pt idx="3">
                  <c:v>Depot
container/vekselflak</c:v>
                </c:pt>
                <c:pt idx="4">
                  <c:v>Veg- og gate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Referanse'!$M$4:$M$9</c15:sqref>
                  </c15:fullRef>
                </c:ext>
              </c:extLst>
              <c:f>('Sammenstilling Referanse'!$M$4:$M$5,'Sammenstilling Referanse'!$M$7:$M$9)</c:f>
              <c:numCache>
                <c:formatCode>#,##0</c:formatCode>
                <c:ptCount val="5"/>
                <c:pt idx="0">
                  <c:v>650000</c:v>
                </c:pt>
                <c:pt idx="1">
                  <c:v>650000</c:v>
                </c:pt>
                <c:pt idx="2">
                  <c:v>650000</c:v>
                </c:pt>
                <c:pt idx="3">
                  <c:v>650000</c:v>
                </c:pt>
                <c:pt idx="4">
                  <c:v>650000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D9-4DE6-BFC3-59D0F5A24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00352"/>
        <c:axId val="450900744"/>
      </c:lineChart>
      <c:catAx>
        <c:axId val="45090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0900744"/>
        <c:crosses val="autoZero"/>
        <c:auto val="1"/>
        <c:lblAlgn val="ctr"/>
        <c:lblOffset val="100"/>
        <c:noMultiLvlLbl val="0"/>
      </c:catAx>
      <c:valAx>
        <c:axId val="450900744"/>
        <c:scaling>
          <c:orientation val="minMax"/>
          <c:max val="1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090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Konsept 4.8.3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'Sammenstilling konsept 4.8.3'!$K$2</c:f>
              <c:strCache>
                <c:ptCount val="1"/>
                <c:pt idx="0">
                  <c:v>Kapasitet funksjoner [2040]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konsept 4.8.3'!$J$3:$J$7</c15:sqref>
                  </c15:fullRef>
                </c:ext>
              </c:extLst>
              <c:f>('Sammenstilling konsept 4.8.3'!$J$3:$J$4,'Sammenstilling konsept 4.8.3'!$J$6:$J$7)</c:f>
              <c:strCache>
                <c:ptCount val="4"/>
                <c:pt idx="0">
                  <c:v>Sporkapasitet</c:v>
                </c:pt>
                <c:pt idx="1">
                  <c:v>Omlasting (løft/lastespor)</c:v>
                </c:pt>
                <c:pt idx="2">
                  <c:v>Depot semihengere</c:v>
                </c:pt>
                <c:pt idx="3">
                  <c:v>Depot container/vekselflak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konsept 4.8.3'!$K$3:$K$7</c15:sqref>
                  </c15:fullRef>
                </c:ext>
              </c:extLst>
              <c:f>('Sammenstilling konsept 4.8.3'!$K$3:$K$4,'Sammenstilling konsept 4.8.3'!$K$6:$K$7)</c:f>
              <c:numCache>
                <c:formatCode>#,##0</c:formatCode>
                <c:ptCount val="4"/>
                <c:pt idx="0">
                  <c:v>732000</c:v>
                </c:pt>
                <c:pt idx="1">
                  <c:v>920000</c:v>
                </c:pt>
                <c:pt idx="2">
                  <c:v>3960000</c:v>
                </c:pt>
                <c:pt idx="3">
                  <c:v>2256000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9-4391-83A4-9927A5A0D6FF}"/>
            </c:ext>
          </c:extLst>
        </c:ser>
        <c:ser>
          <c:idx val="2"/>
          <c:order val="2"/>
          <c:tx>
            <c:strRef>
              <c:f>'Sammenstilling konsept 4.8.3'!$M$2</c:f>
              <c:strCache>
                <c:ptCount val="1"/>
                <c:pt idx="0">
                  <c:v>Kapasitet funksjoner [2060]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konsept 4.8.3'!$J$3:$J$7</c15:sqref>
                  </c15:fullRef>
                </c:ext>
              </c:extLst>
              <c:f>('Sammenstilling konsept 4.8.3'!$J$3:$J$4,'Sammenstilling konsept 4.8.3'!$J$6:$J$7)</c:f>
              <c:strCache>
                <c:ptCount val="4"/>
                <c:pt idx="0">
                  <c:v>Sporkapasitet</c:v>
                </c:pt>
                <c:pt idx="1">
                  <c:v>Omlasting (løft/lastespor)</c:v>
                </c:pt>
                <c:pt idx="2">
                  <c:v>Depot semihengere</c:v>
                </c:pt>
                <c:pt idx="3">
                  <c:v>Depot container/vekselflak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konsept 4.8.3'!$M$3:$M$7</c15:sqref>
                  </c15:fullRef>
                </c:ext>
              </c:extLst>
              <c:f>('Sammenstilling konsept 4.8.3'!$M$3:$M$4,'Sammenstilling konsept 4.8.3'!$M$6:$M$7)</c:f>
              <c:numCache>
                <c:formatCode>#,##0</c:formatCode>
                <c:ptCount val="4"/>
                <c:pt idx="0">
                  <c:v>873000</c:v>
                </c:pt>
                <c:pt idx="1">
                  <c:v>1117000</c:v>
                </c:pt>
                <c:pt idx="2">
                  <c:v>3300000</c:v>
                </c:pt>
                <c:pt idx="3">
                  <c:v>1870000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9-4391-83A4-9927A5A0D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3498776"/>
        <c:axId val="453502696"/>
      </c:barChart>
      <c:lineChart>
        <c:grouping val="standard"/>
        <c:varyColors val="0"/>
        <c:ser>
          <c:idx val="1"/>
          <c:order val="1"/>
          <c:tx>
            <c:strRef>
              <c:f>'Sammenstilling konsept 4.8.3'!$L$2</c:f>
              <c:strCache>
                <c:ptCount val="1"/>
                <c:pt idx="0">
                  <c:v>Forventet kapasitet [2040]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konsept 4.8.3'!$J$3:$J$7</c15:sqref>
                  </c15:fullRef>
                </c:ext>
              </c:extLst>
              <c:f>('Sammenstilling konsept 4.8.3'!$J$3:$J$4,'Sammenstilling konsept 4.8.3'!$J$6:$J$7)</c:f>
              <c:strCache>
                <c:ptCount val="4"/>
                <c:pt idx="0">
                  <c:v>Sporkapasitet</c:v>
                </c:pt>
                <c:pt idx="1">
                  <c:v>Omlasting (løft/lastespor)</c:v>
                </c:pt>
                <c:pt idx="2">
                  <c:v>Depot semihengere</c:v>
                </c:pt>
                <c:pt idx="3">
                  <c:v>Depot container/vekselflak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konsept 4.8.3'!$L$3:$L$7</c15:sqref>
                  </c15:fullRef>
                </c:ext>
              </c:extLst>
              <c:f>('Sammenstilling konsept 4.8.3'!$L$3:$L$4,'Sammenstilling konsept 4.8.3'!$L$6:$L$7)</c:f>
              <c:numCache>
                <c:formatCode>#,##0</c:formatCode>
                <c:ptCount val="4"/>
                <c:pt idx="0">
                  <c:v>732000</c:v>
                </c:pt>
                <c:pt idx="1">
                  <c:v>732000</c:v>
                </c:pt>
                <c:pt idx="2">
                  <c:v>732000</c:v>
                </c:pt>
                <c:pt idx="3">
                  <c:v>732000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49-4391-83A4-9927A5A0D6FF}"/>
            </c:ext>
          </c:extLst>
        </c:ser>
        <c:ser>
          <c:idx val="3"/>
          <c:order val="3"/>
          <c:tx>
            <c:strRef>
              <c:f>'Sammenstilling konsept 4.8.3'!$N$2</c:f>
              <c:strCache>
                <c:ptCount val="1"/>
                <c:pt idx="0">
                  <c:v>Forventet kapasitet [2060]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konsept 4.8.3'!$J$3:$J$7</c15:sqref>
                  </c15:fullRef>
                </c:ext>
              </c:extLst>
              <c:f>('Sammenstilling konsept 4.8.3'!$J$3:$J$4,'Sammenstilling konsept 4.8.3'!$J$6:$J$7)</c:f>
              <c:strCache>
                <c:ptCount val="4"/>
                <c:pt idx="0">
                  <c:v>Sporkapasitet</c:v>
                </c:pt>
                <c:pt idx="1">
                  <c:v>Omlasting (løft/lastespor)</c:v>
                </c:pt>
                <c:pt idx="2">
                  <c:v>Depot semihengere</c:v>
                </c:pt>
                <c:pt idx="3">
                  <c:v>Depot container/vekselflak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konsept 4.8.3'!$N$3:$N$7</c15:sqref>
                  </c15:fullRef>
                </c:ext>
              </c:extLst>
              <c:f>('Sammenstilling konsept 4.8.3'!$N$3:$N$4,'Sammenstilling konsept 4.8.3'!$N$6:$N$7)</c:f>
              <c:numCache>
                <c:formatCode>#,##0</c:formatCode>
                <c:ptCount val="4"/>
                <c:pt idx="0">
                  <c:v>873000</c:v>
                </c:pt>
                <c:pt idx="1">
                  <c:v>873000</c:v>
                </c:pt>
                <c:pt idx="2">
                  <c:v>873000</c:v>
                </c:pt>
                <c:pt idx="3">
                  <c:v>873000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49-4391-83A4-9927A5A0D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498776"/>
        <c:axId val="453502696"/>
      </c:lineChart>
      <c:catAx>
        <c:axId val="45349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3502696"/>
        <c:crosses val="autoZero"/>
        <c:auto val="1"/>
        <c:lblAlgn val="ctr"/>
        <c:lblOffset val="100"/>
        <c:noMultiLvlLbl val="0"/>
      </c:catAx>
      <c:valAx>
        <c:axId val="453502696"/>
        <c:scaling>
          <c:orientation val="minMax"/>
          <c:max val="1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3498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Kostnader</a:t>
            </a:r>
            <a:r>
              <a:rPr lang="nb-NO" baseline="0"/>
              <a:t> per TEU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'Sammenstilling konsept 4.8.3'!$J$36</c:f>
              <c:strCache>
                <c:ptCount val="1"/>
                <c:pt idx="0">
                  <c:v>Jernbane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'Sammenstilling konsept 4.8.3'!$K$35:$L$35</c:f>
              <c:numCache>
                <c:formatCode>General</c:formatCode>
                <c:ptCount val="2"/>
                <c:pt idx="0">
                  <c:v>2040</c:v>
                </c:pt>
                <c:pt idx="1">
                  <c:v>2060</c:v>
                </c:pt>
              </c:numCache>
            </c:numRef>
          </c:cat>
          <c:val>
            <c:numRef>
              <c:f>'Sammenstilling konsept 4.8.3'!$K$36:$L$36</c:f>
              <c:numCache>
                <c:formatCode>General</c:formatCode>
                <c:ptCount val="2"/>
                <c:pt idx="0">
                  <c:v>170</c:v>
                </c:pt>
                <c:pt idx="1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A-4785-BB67-3CFEF4560A9F}"/>
            </c:ext>
          </c:extLst>
        </c:ser>
        <c:ser>
          <c:idx val="1"/>
          <c:order val="1"/>
          <c:tx>
            <c:strRef>
              <c:f>'Sammenstilling konsept 4.8.3'!$J$37</c:f>
              <c:strCache>
                <c:ptCount val="1"/>
                <c:pt idx="0">
                  <c:v>Terminal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'Sammenstilling konsept 4.8.3'!$K$35:$L$35</c:f>
              <c:numCache>
                <c:formatCode>General</c:formatCode>
                <c:ptCount val="2"/>
                <c:pt idx="0">
                  <c:v>2040</c:v>
                </c:pt>
                <c:pt idx="1">
                  <c:v>2060</c:v>
                </c:pt>
              </c:numCache>
            </c:numRef>
          </c:cat>
          <c:val>
            <c:numRef>
              <c:f>'Sammenstilling konsept 4.8.3'!$K$37:$L$37</c:f>
              <c:numCache>
                <c:formatCode>General</c:formatCode>
                <c:ptCount val="2"/>
                <c:pt idx="0">
                  <c:v>77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A-4785-BB67-3CFEF4560A9F}"/>
            </c:ext>
          </c:extLst>
        </c:ser>
        <c:ser>
          <c:idx val="2"/>
          <c:order val="2"/>
          <c:tx>
            <c:strRef>
              <c:f>'Sammenstilling konsept 4.8.3'!$J$38</c:f>
              <c:strCache>
                <c:ptCount val="1"/>
                <c:pt idx="0">
                  <c:v>Vei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'Sammenstilling konsept 4.8.3'!$K$35:$L$35</c:f>
              <c:numCache>
                <c:formatCode>General</c:formatCode>
                <c:ptCount val="2"/>
                <c:pt idx="0">
                  <c:v>2040</c:v>
                </c:pt>
                <c:pt idx="1">
                  <c:v>2060</c:v>
                </c:pt>
              </c:numCache>
            </c:numRef>
          </c:cat>
          <c:val>
            <c:numRef>
              <c:f>'Sammenstilling konsept 4.8.3'!$K$38:$L$38</c:f>
              <c:numCache>
                <c:formatCode>General</c:formatCode>
                <c:ptCount val="2"/>
                <c:pt idx="0">
                  <c:v>127</c:v>
                </c:pt>
                <c:pt idx="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DA-4785-BB67-3CFEF4560A9F}"/>
            </c:ext>
          </c:extLst>
        </c:ser>
        <c:ser>
          <c:idx val="3"/>
          <c:order val="3"/>
          <c:tx>
            <c:strRef>
              <c:f>'Sammenstilling konsept 4.8.3'!$J$39</c:f>
              <c:strCache>
                <c:ptCount val="1"/>
                <c:pt idx="0">
                  <c:v>Faste kostnader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'Sammenstilling konsept 4.8.3'!$K$35:$L$35</c:f>
              <c:numCache>
                <c:formatCode>General</c:formatCode>
                <c:ptCount val="2"/>
                <c:pt idx="0">
                  <c:v>2040</c:v>
                </c:pt>
                <c:pt idx="1">
                  <c:v>2060</c:v>
                </c:pt>
              </c:numCache>
            </c:numRef>
          </c:cat>
          <c:val>
            <c:numRef>
              <c:f>'Sammenstilling konsept 4.8.3'!$K$39:$L$39</c:f>
              <c:numCache>
                <c:formatCode>General</c:formatCode>
                <c:ptCount val="2"/>
                <c:pt idx="0">
                  <c:v>11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DA-4785-BB67-3CFEF4560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504264"/>
        <c:axId val="453496816"/>
      </c:barChart>
      <c:catAx>
        <c:axId val="453504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3496816"/>
        <c:crosses val="autoZero"/>
        <c:auto val="1"/>
        <c:lblAlgn val="ctr"/>
        <c:lblOffset val="100"/>
        <c:noMultiLvlLbl val="0"/>
      </c:catAx>
      <c:valAx>
        <c:axId val="45349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3504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Konsept</a:t>
            </a:r>
            <a:r>
              <a:rPr lang="en-US" baseline="0"/>
              <a:t> 4.8.3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'Sammenstilling konsept 4.8.3'!$O$35</c:f>
              <c:strCache>
                <c:ptCount val="1"/>
                <c:pt idx="0">
                  <c:v>Reduksjon i driftskostnader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'Sammenstilling konsept 4.8.3'!$N$36:$N$38</c:f>
              <c:strCache>
                <c:ptCount val="3"/>
                <c:pt idx="0">
                  <c:v>Dagens situasjon</c:v>
                </c:pt>
                <c:pt idx="1">
                  <c:v>2040</c:v>
                </c:pt>
                <c:pt idx="2">
                  <c:v>2060</c:v>
                </c:pt>
              </c:strCache>
            </c:strRef>
          </c:cat>
          <c:val>
            <c:numRef>
              <c:f>'Sammenstilling konsept 4.8.3'!$O$36:$O$38</c:f>
              <c:numCache>
                <c:formatCode>0%</c:formatCode>
                <c:ptCount val="3"/>
                <c:pt idx="0" formatCode="General">
                  <c:v>0</c:v>
                </c:pt>
                <c:pt idx="1">
                  <c:v>-0.15637254901960784</c:v>
                </c:pt>
                <c:pt idx="2">
                  <c:v>-0.17908163265306123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2-454E-8854-74974648D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53497992"/>
        <c:axId val="453499168"/>
      </c:barChart>
      <c:catAx>
        <c:axId val="45349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3499168"/>
        <c:crosses val="autoZero"/>
        <c:auto val="1"/>
        <c:lblAlgn val="ctr"/>
        <c:lblOffset val="100"/>
        <c:noMultiLvlLbl val="0"/>
      </c:catAx>
      <c:valAx>
        <c:axId val="453499168"/>
        <c:scaling>
          <c:orientation val="minMax"/>
          <c:max val="5.000000000000001E-2"/>
          <c:min val="-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349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Implementeringskonsept 4.8.3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'Sammenstilling konsept 4.8.3 im'!$K$2</c:f>
              <c:strCache>
                <c:ptCount val="1"/>
                <c:pt idx="0">
                  <c:v>Kapasitet funksjoner [2040]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konsept 4.8.3 im'!$J$3:$J$7</c15:sqref>
                  </c15:fullRef>
                </c:ext>
              </c:extLst>
              <c:f>('Sammenstilling konsept 4.8.3 im'!$J$3:$J$4,'Sammenstilling konsept 4.8.3 im'!$J$6:$J$7)</c:f>
              <c:strCache>
                <c:ptCount val="4"/>
                <c:pt idx="0">
                  <c:v>Sporkapasitet </c:v>
                </c:pt>
                <c:pt idx="1">
                  <c:v>Omlasting (løft/lastespor)</c:v>
                </c:pt>
                <c:pt idx="2">
                  <c:v>Depot semihengere </c:v>
                </c:pt>
                <c:pt idx="3">
                  <c:v>Depot container/vekselflak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konsept 4.8.3 im'!$K$3:$K$7</c15:sqref>
                  </c15:fullRef>
                </c:ext>
              </c:extLst>
              <c:f>('Sammenstilling konsept 4.8.3 im'!$K$3:$K$4,'Sammenstilling konsept 4.8.3 im'!$K$6:$K$7)</c:f>
              <c:numCache>
                <c:formatCode>#,##0</c:formatCode>
                <c:ptCount val="4"/>
                <c:pt idx="0">
                  <c:v>748000</c:v>
                </c:pt>
                <c:pt idx="1">
                  <c:v>945000</c:v>
                </c:pt>
                <c:pt idx="2">
                  <c:v>2440000</c:v>
                </c:pt>
                <c:pt idx="3">
                  <c:v>2192000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C-4108-A4B1-8155817BEBC9}"/>
            </c:ext>
          </c:extLst>
        </c:ser>
        <c:ser>
          <c:idx val="2"/>
          <c:order val="2"/>
          <c:tx>
            <c:strRef>
              <c:f>'Sammenstilling konsept 4.8.3 im'!$M$2</c:f>
              <c:strCache>
                <c:ptCount val="1"/>
                <c:pt idx="0">
                  <c:v>Kapasitet funksjoner [2060]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konsept 4.8.3 im'!$J$3:$J$7</c15:sqref>
                  </c15:fullRef>
                </c:ext>
              </c:extLst>
              <c:f>('Sammenstilling konsept 4.8.3 im'!$J$3:$J$4,'Sammenstilling konsept 4.8.3 im'!$J$6:$J$7)</c:f>
              <c:strCache>
                <c:ptCount val="4"/>
                <c:pt idx="0">
                  <c:v>Sporkapasitet </c:v>
                </c:pt>
                <c:pt idx="1">
                  <c:v>Omlasting (løft/lastespor)</c:v>
                </c:pt>
                <c:pt idx="2">
                  <c:v>Depot semihengere </c:v>
                </c:pt>
                <c:pt idx="3">
                  <c:v>Depot container/vekselflak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konsept 4.8.3 im'!$M$3:$M$7</c15:sqref>
                  </c15:fullRef>
                </c:ext>
              </c:extLst>
              <c:f>('Sammenstilling konsept 4.8.3 im'!$M$3:$M$4,'Sammenstilling konsept 4.8.3 im'!$M$6:$M$7)</c:f>
              <c:numCache>
                <c:formatCode>#,##0</c:formatCode>
                <c:ptCount val="4"/>
                <c:pt idx="0">
                  <c:v>892000</c:v>
                </c:pt>
                <c:pt idx="1">
                  <c:v>1167000</c:v>
                </c:pt>
                <c:pt idx="2">
                  <c:v>2002000</c:v>
                </c:pt>
                <c:pt idx="3">
                  <c:v>1771000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C-4108-A4B1-8155817BE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0898392"/>
        <c:axId val="167852104"/>
      </c:barChart>
      <c:lineChart>
        <c:grouping val="standard"/>
        <c:varyColors val="0"/>
        <c:ser>
          <c:idx val="1"/>
          <c:order val="1"/>
          <c:tx>
            <c:strRef>
              <c:f>'Sammenstilling konsept 4.8.3 im'!$L$2</c:f>
              <c:strCache>
                <c:ptCount val="1"/>
                <c:pt idx="0">
                  <c:v>Forventet kapasitet [2040]</c:v>
                </c:pt>
              </c:strCache>
            </c:strRef>
          </c:tx>
          <c:spPr>
            <a:ln w="28575" cap="rnd">
              <a:solidFill>
                <a:schemeClr val="accent1">
                  <a:tint val="86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konsept 4.8.3 im'!$J$3:$J$7</c15:sqref>
                  </c15:fullRef>
                </c:ext>
              </c:extLst>
              <c:f>('Sammenstilling konsept 4.8.3 im'!$J$3:$J$4,'Sammenstilling konsept 4.8.3 im'!$J$6:$J$7)</c:f>
              <c:strCache>
                <c:ptCount val="4"/>
                <c:pt idx="0">
                  <c:v>Sporkapasitet </c:v>
                </c:pt>
                <c:pt idx="1">
                  <c:v>Omlasting (løft/lastespor)</c:v>
                </c:pt>
                <c:pt idx="2">
                  <c:v>Depot semihengere </c:v>
                </c:pt>
                <c:pt idx="3">
                  <c:v>Depot container/vekselflak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konsept 4.8.3 im'!$L$3:$L$7</c15:sqref>
                  </c15:fullRef>
                </c:ext>
              </c:extLst>
              <c:f>('Sammenstilling konsept 4.8.3 im'!$L$3:$L$4,'Sammenstilling konsept 4.8.3 im'!$L$6:$L$7)</c:f>
              <c:numCache>
                <c:formatCode>#,##0</c:formatCode>
                <c:ptCount val="4"/>
                <c:pt idx="0">
                  <c:v>748000</c:v>
                </c:pt>
                <c:pt idx="1">
                  <c:v>748000</c:v>
                </c:pt>
                <c:pt idx="2">
                  <c:v>748000</c:v>
                </c:pt>
                <c:pt idx="3">
                  <c:v>748000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CC-4108-A4B1-8155817BEBC9}"/>
            </c:ext>
          </c:extLst>
        </c:ser>
        <c:ser>
          <c:idx val="3"/>
          <c:order val="3"/>
          <c:tx>
            <c:strRef>
              <c:f>'Sammenstilling konsept 4.8.3 im'!$N$2</c:f>
              <c:strCache>
                <c:ptCount val="1"/>
                <c:pt idx="0">
                  <c:v>Forventet kapasitet [2060]</c:v>
                </c:pt>
              </c:strCache>
            </c:strRef>
          </c:tx>
          <c:spPr>
            <a:ln w="28575" cap="rnd">
              <a:solidFill>
                <a:schemeClr val="accent1">
                  <a:shade val="58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konsept 4.8.3 im'!$J$3:$J$7</c15:sqref>
                  </c15:fullRef>
                </c:ext>
              </c:extLst>
              <c:f>('Sammenstilling konsept 4.8.3 im'!$J$3:$J$4,'Sammenstilling konsept 4.8.3 im'!$J$6:$J$7)</c:f>
              <c:strCache>
                <c:ptCount val="4"/>
                <c:pt idx="0">
                  <c:v>Sporkapasitet </c:v>
                </c:pt>
                <c:pt idx="1">
                  <c:v>Omlasting (løft/lastespor)</c:v>
                </c:pt>
                <c:pt idx="2">
                  <c:v>Depot semihengere </c:v>
                </c:pt>
                <c:pt idx="3">
                  <c:v>Depot container/vekselflak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konsept 4.8.3 im'!$N$3:$N$7</c15:sqref>
                  </c15:fullRef>
                </c:ext>
              </c:extLst>
              <c:f>('Sammenstilling konsept 4.8.3 im'!$N$3:$N$4,'Sammenstilling konsept 4.8.3 im'!$N$6:$N$7)</c:f>
              <c:numCache>
                <c:formatCode>#,##0</c:formatCode>
                <c:ptCount val="4"/>
                <c:pt idx="0">
                  <c:v>892000</c:v>
                </c:pt>
                <c:pt idx="1">
                  <c:v>892000</c:v>
                </c:pt>
                <c:pt idx="2">
                  <c:v>892000</c:v>
                </c:pt>
                <c:pt idx="3">
                  <c:v>892000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CC-4108-A4B1-8155817BE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898392"/>
        <c:axId val="167852104"/>
      </c:lineChart>
      <c:catAx>
        <c:axId val="45089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7852104"/>
        <c:crosses val="autoZero"/>
        <c:auto val="1"/>
        <c:lblAlgn val="ctr"/>
        <c:lblOffset val="100"/>
        <c:noMultiLvlLbl val="0"/>
      </c:catAx>
      <c:valAx>
        <c:axId val="167852104"/>
        <c:scaling>
          <c:orientation val="minMax"/>
          <c:max val="1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089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Kostnader</a:t>
            </a:r>
            <a:r>
              <a:rPr lang="nb-NO" baseline="0"/>
              <a:t> per TEU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'Sammenstilling konsept 4.8.3 im'!$J$36</c:f>
              <c:strCache>
                <c:ptCount val="1"/>
                <c:pt idx="0">
                  <c:v>Jernbane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numRef>
              <c:f>'Sammenstilling konsept 4.8.3 im'!$K$35:$L$35</c:f>
              <c:numCache>
                <c:formatCode>General</c:formatCode>
                <c:ptCount val="2"/>
                <c:pt idx="0">
                  <c:v>2040</c:v>
                </c:pt>
                <c:pt idx="1">
                  <c:v>2060</c:v>
                </c:pt>
              </c:numCache>
            </c:numRef>
          </c:cat>
          <c:val>
            <c:numRef>
              <c:f>'Sammenstilling konsept 4.8.3 im'!$K$36:$L$36</c:f>
              <c:numCache>
                <c:formatCode>0</c:formatCode>
                <c:ptCount val="2"/>
                <c:pt idx="0" formatCode="General">
                  <c:v>171</c:v>
                </c:pt>
                <c:pt idx="1">
                  <c:v>166.3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1-4406-87D1-878B8220E433}"/>
            </c:ext>
          </c:extLst>
        </c:ser>
        <c:ser>
          <c:idx val="1"/>
          <c:order val="1"/>
          <c:tx>
            <c:strRef>
              <c:f>'Sammenstilling konsept 4.8.3 im'!$J$37</c:f>
              <c:strCache>
                <c:ptCount val="1"/>
                <c:pt idx="0">
                  <c:v>Terminal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numRef>
              <c:f>'Sammenstilling konsept 4.8.3 im'!$K$35:$L$35</c:f>
              <c:numCache>
                <c:formatCode>General</c:formatCode>
                <c:ptCount val="2"/>
                <c:pt idx="0">
                  <c:v>2040</c:v>
                </c:pt>
                <c:pt idx="1">
                  <c:v>2060</c:v>
                </c:pt>
              </c:numCache>
            </c:numRef>
          </c:cat>
          <c:val>
            <c:numRef>
              <c:f>'Sammenstilling konsept 4.8.3 im'!$K$37:$L$37</c:f>
              <c:numCache>
                <c:formatCode>0</c:formatCode>
                <c:ptCount val="2"/>
                <c:pt idx="0" formatCode="General">
                  <c:v>82</c:v>
                </c:pt>
                <c:pt idx="1">
                  <c:v>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21-4406-87D1-878B8220E433}"/>
            </c:ext>
          </c:extLst>
        </c:ser>
        <c:ser>
          <c:idx val="2"/>
          <c:order val="2"/>
          <c:tx>
            <c:strRef>
              <c:f>'Sammenstilling konsept 4.8.3 im'!$J$38</c:f>
              <c:strCache>
                <c:ptCount val="1"/>
                <c:pt idx="0">
                  <c:v>Vei 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numRef>
              <c:f>'Sammenstilling konsept 4.8.3 im'!$K$35:$L$35</c:f>
              <c:numCache>
                <c:formatCode>General</c:formatCode>
                <c:ptCount val="2"/>
                <c:pt idx="0">
                  <c:v>2040</c:v>
                </c:pt>
                <c:pt idx="1">
                  <c:v>2060</c:v>
                </c:pt>
              </c:numCache>
            </c:numRef>
          </c:cat>
          <c:val>
            <c:numRef>
              <c:f>'Sammenstilling konsept 4.8.3 im'!$K$38:$L$38</c:f>
              <c:numCache>
                <c:formatCode>0</c:formatCode>
                <c:ptCount val="2"/>
                <c:pt idx="0" formatCode="General">
                  <c:v>138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21-4406-87D1-878B8220E433}"/>
            </c:ext>
          </c:extLst>
        </c:ser>
        <c:ser>
          <c:idx val="3"/>
          <c:order val="3"/>
          <c:tx>
            <c:strRef>
              <c:f>'Sammenstilling konsept 4.8.3 im'!$J$39</c:f>
              <c:strCache>
                <c:ptCount val="1"/>
                <c:pt idx="0">
                  <c:v>Faste kostnader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numRef>
              <c:f>'Sammenstilling konsept 4.8.3 im'!$K$35:$L$35</c:f>
              <c:numCache>
                <c:formatCode>General</c:formatCode>
                <c:ptCount val="2"/>
                <c:pt idx="0">
                  <c:v>2040</c:v>
                </c:pt>
                <c:pt idx="1">
                  <c:v>2060</c:v>
                </c:pt>
              </c:numCache>
            </c:numRef>
          </c:cat>
          <c:val>
            <c:numRef>
              <c:f>'Sammenstilling konsept 4.8.3 im'!$K$39:$L$39</c:f>
              <c:numCache>
                <c:formatCode>0</c:formatCode>
                <c:ptCount val="2"/>
                <c:pt idx="0" formatCode="General">
                  <c:v>10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21-4406-87D1-878B8220E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298472"/>
        <c:axId val="454301216"/>
      </c:barChart>
      <c:catAx>
        <c:axId val="45429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4301216"/>
        <c:crosses val="autoZero"/>
        <c:auto val="1"/>
        <c:lblAlgn val="ctr"/>
        <c:lblOffset val="100"/>
        <c:noMultiLvlLbl val="0"/>
      </c:catAx>
      <c:valAx>
        <c:axId val="45430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4298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Implementeringskonsept 4.8.3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'Sammenstilling konsept 4.8.3 im'!$O$35</c:f>
              <c:strCache>
                <c:ptCount val="1"/>
                <c:pt idx="0">
                  <c:v>Reduksjon i driftskostnader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'Sammenstilling konsept 4.8.3 im'!$N$36:$N$38</c:f>
              <c:strCache>
                <c:ptCount val="3"/>
                <c:pt idx="0">
                  <c:v>Dagens situasjon</c:v>
                </c:pt>
                <c:pt idx="1">
                  <c:v>2040</c:v>
                </c:pt>
                <c:pt idx="2">
                  <c:v>2060</c:v>
                </c:pt>
              </c:strCache>
            </c:strRef>
          </c:cat>
          <c:val>
            <c:numRef>
              <c:f>'Sammenstilling konsept 4.8.3 im'!$O$36:$O$38</c:f>
              <c:numCache>
                <c:formatCode>0%</c:formatCode>
                <c:ptCount val="3"/>
                <c:pt idx="0" formatCode="General">
                  <c:v>0</c:v>
                </c:pt>
                <c:pt idx="1">
                  <c:v>-0.11715686274509804</c:v>
                </c:pt>
                <c:pt idx="2">
                  <c:v>-0.1341836734693877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5D7-A9F2-50020C997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54299648"/>
        <c:axId val="454296120"/>
      </c:barChart>
      <c:catAx>
        <c:axId val="45429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4296120"/>
        <c:crosses val="autoZero"/>
        <c:auto val="1"/>
        <c:lblAlgn val="ctr"/>
        <c:lblOffset val="100"/>
        <c:noMultiLvlLbl val="0"/>
      </c:catAx>
      <c:valAx>
        <c:axId val="454296120"/>
        <c:scaling>
          <c:orientation val="minMax"/>
          <c:max val="5.000000000000001E-2"/>
          <c:min val="-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429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Sammendrag!$L$5</c:f>
              <c:strCache>
                <c:ptCount val="1"/>
                <c:pt idx="0">
                  <c:v>Samlet 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Sammendrag!$M$4:$P$4</c:f>
              <c:strCache>
                <c:ptCount val="4"/>
                <c:pt idx="0">
                  <c:v>Konsept 3.7</c:v>
                </c:pt>
                <c:pt idx="1">
                  <c:v>Impl. 3.7</c:v>
                </c:pt>
                <c:pt idx="2">
                  <c:v>Konsept 4.8.3</c:v>
                </c:pt>
                <c:pt idx="3">
                  <c:v>Impl. 4.8.3</c:v>
                </c:pt>
              </c:strCache>
            </c:strRef>
          </c:cat>
          <c:val>
            <c:numRef>
              <c:f>Sammendrag!$M$5:$P$5</c:f>
              <c:numCache>
                <c:formatCode>General</c:formatCode>
                <c:ptCount val="4"/>
                <c:pt idx="0">
                  <c:v>22</c:v>
                </c:pt>
                <c:pt idx="1">
                  <c:v>22</c:v>
                </c:pt>
                <c:pt idx="2">
                  <c:v>18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1-4C60-81BD-69ED0E269CD6}"/>
            </c:ext>
          </c:extLst>
        </c:ser>
        <c:ser>
          <c:idx val="1"/>
          <c:order val="1"/>
          <c:tx>
            <c:strRef>
              <c:f>Sammendrag!$L$6</c:f>
              <c:strCache>
                <c:ptCount val="1"/>
                <c:pt idx="0">
                  <c:v>Investeringskostnad 1000 mrd. nok (P50)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Sammendrag!$M$4:$P$4</c:f>
              <c:strCache>
                <c:ptCount val="4"/>
                <c:pt idx="0">
                  <c:v>Konsept 3.7</c:v>
                </c:pt>
                <c:pt idx="1">
                  <c:v>Impl. 3.7</c:v>
                </c:pt>
                <c:pt idx="2">
                  <c:v>Konsept 4.8.3</c:v>
                </c:pt>
                <c:pt idx="3">
                  <c:v>Impl. 4.8.3</c:v>
                </c:pt>
              </c:strCache>
            </c:strRef>
          </c:cat>
          <c:val>
            <c:numRef>
              <c:f>Sammendrag!$M$6:$P$6</c:f>
              <c:numCache>
                <c:formatCode>_-* #\ ##0.0_-;\-* #\ ##0.0_-;_-* "-"??_-;_-@_-</c:formatCode>
                <c:ptCount val="4"/>
                <c:pt idx="0">
                  <c:v>7.9147177697180897</c:v>
                </c:pt>
                <c:pt idx="1">
                  <c:v>6.8111907686229598</c:v>
                </c:pt>
                <c:pt idx="2">
                  <c:v>8.9048658208955196</c:v>
                </c:pt>
                <c:pt idx="3">
                  <c:v>6.6204029147021002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1-4C60-81BD-69ED0E269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297296"/>
        <c:axId val="454295336"/>
      </c:barChart>
      <c:catAx>
        <c:axId val="45429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4295336"/>
        <c:crosses val="autoZero"/>
        <c:auto val="1"/>
        <c:lblAlgn val="ctr"/>
        <c:lblOffset val="100"/>
        <c:noMultiLvlLbl val="0"/>
      </c:catAx>
      <c:valAx>
        <c:axId val="45429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Score/Mrd. NOK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429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Kostnader</a:t>
            </a:r>
            <a:r>
              <a:rPr lang="nb-NO" baseline="0"/>
              <a:t> per TEU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'Sammenstilling Referanse'!$I$37</c:f>
              <c:strCache>
                <c:ptCount val="1"/>
                <c:pt idx="0">
                  <c:v>Jernbane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'Sammenstilling Referanse'!$J$35:$K$36</c:f>
              <c:strCache>
                <c:ptCount val="2"/>
                <c:pt idx="0">
                  <c:v>2040</c:v>
                </c:pt>
                <c:pt idx="1">
                  <c:v>2060</c:v>
                </c:pt>
              </c:strCache>
            </c:strRef>
          </c:cat>
          <c:val>
            <c:numRef>
              <c:f>'Sammenstilling Referanse'!$J$37:$K$37</c:f>
              <c:numCache>
                <c:formatCode>General</c:formatCode>
                <c:ptCount val="2"/>
                <c:pt idx="0">
                  <c:v>173</c:v>
                </c:pt>
                <c:pt idx="1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D-4F58-8D5E-83FFCE09262F}"/>
            </c:ext>
          </c:extLst>
        </c:ser>
        <c:ser>
          <c:idx val="1"/>
          <c:order val="1"/>
          <c:tx>
            <c:strRef>
              <c:f>'Sammenstilling Referanse'!$I$38</c:f>
              <c:strCache>
                <c:ptCount val="1"/>
                <c:pt idx="0">
                  <c:v>Terminal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'Sammenstilling Referanse'!$J$35:$K$36</c:f>
              <c:strCache>
                <c:ptCount val="2"/>
                <c:pt idx="0">
                  <c:v>2040</c:v>
                </c:pt>
                <c:pt idx="1">
                  <c:v>2060</c:v>
                </c:pt>
              </c:strCache>
            </c:strRef>
          </c:cat>
          <c:val>
            <c:numRef>
              <c:f>'Sammenstilling Referanse'!$J$38:$K$38</c:f>
              <c:numCache>
                <c:formatCode>General</c:formatCode>
                <c:ptCount val="2"/>
                <c:pt idx="0">
                  <c:v>81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1D-4F58-8D5E-83FFCE09262F}"/>
            </c:ext>
          </c:extLst>
        </c:ser>
        <c:ser>
          <c:idx val="2"/>
          <c:order val="2"/>
          <c:tx>
            <c:strRef>
              <c:f>'Sammenstilling Referanse'!$I$39</c:f>
              <c:strCache>
                <c:ptCount val="1"/>
                <c:pt idx="0">
                  <c:v>Vei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'Sammenstilling Referanse'!$J$35:$K$36</c:f>
              <c:strCache>
                <c:ptCount val="2"/>
                <c:pt idx="0">
                  <c:v>2040</c:v>
                </c:pt>
                <c:pt idx="1">
                  <c:v>2060</c:v>
                </c:pt>
              </c:strCache>
            </c:strRef>
          </c:cat>
          <c:val>
            <c:numRef>
              <c:f>'Sammenstilling Referanse'!$J$39:$K$39</c:f>
              <c:numCache>
                <c:formatCode>General</c:formatCode>
                <c:ptCount val="2"/>
                <c:pt idx="0">
                  <c:v>140</c:v>
                </c:pt>
                <c:pt idx="1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1D-4F58-8D5E-83FFCE09262F}"/>
            </c:ext>
          </c:extLst>
        </c:ser>
        <c:ser>
          <c:idx val="3"/>
          <c:order val="3"/>
          <c:tx>
            <c:strRef>
              <c:f>'Sammenstilling Referanse'!$I$40</c:f>
              <c:strCache>
                <c:ptCount val="1"/>
                <c:pt idx="0">
                  <c:v>Faste kostnader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'Sammenstilling Referanse'!$J$35:$K$36</c:f>
              <c:strCache>
                <c:ptCount val="2"/>
                <c:pt idx="0">
                  <c:v>2040</c:v>
                </c:pt>
                <c:pt idx="1">
                  <c:v>2060</c:v>
                </c:pt>
              </c:strCache>
            </c:strRef>
          </c:cat>
          <c:val>
            <c:numRef>
              <c:f>'Sammenstilling Referanse'!$J$40:$K$40</c:f>
              <c:numCache>
                <c:formatCode>General</c:formatCode>
                <c:ptCount val="2"/>
                <c:pt idx="0">
                  <c:v>13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1D-4F58-8D5E-83FFCE092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897216"/>
        <c:axId val="450901920"/>
      </c:barChart>
      <c:catAx>
        <c:axId val="45089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0901920"/>
        <c:crosses val="autoZero"/>
        <c:auto val="1"/>
        <c:lblAlgn val="ctr"/>
        <c:lblOffset val="100"/>
        <c:noMultiLvlLbl val="0"/>
      </c:catAx>
      <c:valAx>
        <c:axId val="45090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089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Referanse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'Sammenstilling Referanse'!$N$36</c:f>
              <c:strCache>
                <c:ptCount val="1"/>
                <c:pt idx="0">
                  <c:v>Reduksjon i driftskostnader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'Sammenstilling Referanse'!$M$37:$M$39</c:f>
              <c:strCache>
                <c:ptCount val="3"/>
                <c:pt idx="0">
                  <c:v>Dagens situasjon</c:v>
                </c:pt>
                <c:pt idx="1">
                  <c:v>2040</c:v>
                </c:pt>
                <c:pt idx="2">
                  <c:v>2060</c:v>
                </c:pt>
              </c:strCache>
            </c:strRef>
          </c:cat>
          <c:val>
            <c:numRef>
              <c:f>'Sammenstilling Referanse'!$N$37:$N$39</c:f>
              <c:numCache>
                <c:formatCode>0%</c:formatCode>
                <c:ptCount val="3"/>
                <c:pt idx="0" formatCode="General">
                  <c:v>0</c:v>
                </c:pt>
                <c:pt idx="1">
                  <c:v>-0.1</c:v>
                </c:pt>
                <c:pt idx="2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D-4D21-8954-069B6AC96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50896824"/>
        <c:axId val="450897608"/>
      </c:barChart>
      <c:catAx>
        <c:axId val="450896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0897608"/>
        <c:crosses val="autoZero"/>
        <c:auto val="1"/>
        <c:lblAlgn val="ctr"/>
        <c:lblOffset val="100"/>
        <c:noMultiLvlLbl val="0"/>
      </c:catAx>
      <c:valAx>
        <c:axId val="450897608"/>
        <c:scaling>
          <c:orientation val="minMax"/>
          <c:max val="5.000000000000001E-2"/>
          <c:min val="-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0896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Konsept 3.7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'Sammenstilling Konsept 3.7'!$J$2</c:f>
              <c:strCache>
                <c:ptCount val="1"/>
                <c:pt idx="0">
                  <c:v>Kapasitet funksjoner [2040]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Konsept 3.7'!$I$3:$I$7</c15:sqref>
                  </c15:fullRef>
                </c:ext>
              </c:extLst>
              <c:f>('Sammenstilling Konsept 3.7'!$I$3:$I$4,'Sammenstilling Konsept 3.7'!$I$6:$I$7)</c:f>
              <c:strCache>
                <c:ptCount val="4"/>
                <c:pt idx="0">
                  <c:v>Spor</c:v>
                </c:pt>
                <c:pt idx="1">
                  <c:v>Omlasting (løft/lastespor)</c:v>
                </c:pt>
                <c:pt idx="2">
                  <c:v>Depot semihengere </c:v>
                </c:pt>
                <c:pt idx="3">
                  <c:v>Depot container/vekselflak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Konsept 3.7'!$J$3:$J$7</c15:sqref>
                  </c15:fullRef>
                </c:ext>
              </c:extLst>
              <c:f>('Sammenstilling Konsept 3.7'!$J$3:$J$4,'Sammenstilling Konsept 3.7'!$J$6:$J$7)</c:f>
              <c:numCache>
                <c:formatCode>#,##0</c:formatCode>
                <c:ptCount val="4"/>
                <c:pt idx="0">
                  <c:v>850000</c:v>
                </c:pt>
                <c:pt idx="1">
                  <c:v>932000</c:v>
                </c:pt>
                <c:pt idx="2">
                  <c:v>8352000</c:v>
                </c:pt>
                <c:pt idx="3">
                  <c:v>3032000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8-42E5-BFA2-4259BBC0AEF3}"/>
            </c:ext>
          </c:extLst>
        </c:ser>
        <c:ser>
          <c:idx val="2"/>
          <c:order val="2"/>
          <c:tx>
            <c:strRef>
              <c:f>'Sammenstilling Konsept 3.7'!$L$2</c:f>
              <c:strCache>
                <c:ptCount val="1"/>
                <c:pt idx="0">
                  <c:v>Kapasitet funksjoner [2060]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Konsept 3.7'!$I$3:$I$7</c15:sqref>
                  </c15:fullRef>
                </c:ext>
              </c:extLst>
              <c:f>('Sammenstilling Konsept 3.7'!$I$3:$I$4,'Sammenstilling Konsept 3.7'!$I$6:$I$7)</c:f>
              <c:strCache>
                <c:ptCount val="4"/>
                <c:pt idx="0">
                  <c:v>Spor</c:v>
                </c:pt>
                <c:pt idx="1">
                  <c:v>Omlasting (løft/lastespor)</c:v>
                </c:pt>
                <c:pt idx="2">
                  <c:v>Depot semihengere </c:v>
                </c:pt>
                <c:pt idx="3">
                  <c:v>Depot container/vekselflak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Konsept 3.7'!$L$3:$L$7</c15:sqref>
                  </c15:fullRef>
                </c:ext>
              </c:extLst>
              <c:f>('Sammenstilling Konsept 3.7'!$L$3:$L$4,'Sammenstilling Konsept 3.7'!$L$6:$L$7)</c:f>
              <c:numCache>
                <c:formatCode>#,##0</c:formatCode>
                <c:ptCount val="4"/>
                <c:pt idx="0">
                  <c:v>1123000</c:v>
                </c:pt>
                <c:pt idx="1">
                  <c:v>1156000</c:v>
                </c:pt>
                <c:pt idx="2">
                  <c:v>6556000</c:v>
                </c:pt>
                <c:pt idx="3">
                  <c:v>2178000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D8-42E5-BFA2-4259BBC0A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0903096"/>
        <c:axId val="450898000"/>
      </c:barChart>
      <c:lineChart>
        <c:grouping val="standard"/>
        <c:varyColors val="0"/>
        <c:ser>
          <c:idx val="1"/>
          <c:order val="1"/>
          <c:tx>
            <c:strRef>
              <c:f>'Sammenstilling Konsept 3.7'!$K$2</c:f>
              <c:strCache>
                <c:ptCount val="1"/>
                <c:pt idx="0">
                  <c:v>Forventet kapasitet [2040]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Konsept 3.7'!$I$3:$I$7</c15:sqref>
                  </c15:fullRef>
                </c:ext>
              </c:extLst>
              <c:f>('Sammenstilling Konsept 3.7'!$I$3:$I$4,'Sammenstilling Konsept 3.7'!$I$6:$I$7)</c:f>
              <c:strCache>
                <c:ptCount val="4"/>
                <c:pt idx="0">
                  <c:v>Spor</c:v>
                </c:pt>
                <c:pt idx="1">
                  <c:v>Omlasting (løft/lastespor)</c:v>
                </c:pt>
                <c:pt idx="2">
                  <c:v>Depot semihengere </c:v>
                </c:pt>
                <c:pt idx="3">
                  <c:v>Depot container/vekselflak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Konsept 3.7'!$K$3:$K$7</c15:sqref>
                  </c15:fullRef>
                </c:ext>
              </c:extLst>
              <c:f>('Sammenstilling Konsept 3.7'!$K$3:$K$4,'Sammenstilling Konsept 3.7'!$K$6:$K$7)</c:f>
              <c:numCache>
                <c:formatCode>#,##0</c:formatCode>
                <c:ptCount val="4"/>
                <c:pt idx="0">
                  <c:v>850000</c:v>
                </c:pt>
                <c:pt idx="1">
                  <c:v>850000</c:v>
                </c:pt>
                <c:pt idx="2">
                  <c:v>850000</c:v>
                </c:pt>
                <c:pt idx="3">
                  <c:v>850000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D8-42E5-BFA2-4259BBC0AEF3}"/>
            </c:ext>
          </c:extLst>
        </c:ser>
        <c:ser>
          <c:idx val="3"/>
          <c:order val="3"/>
          <c:tx>
            <c:strRef>
              <c:f>'Sammenstilling Konsept 3.7'!$M$2</c:f>
              <c:strCache>
                <c:ptCount val="1"/>
                <c:pt idx="0">
                  <c:v>Forventet kapasitet [2060]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Konsept 3.7'!$I$3:$I$7</c15:sqref>
                  </c15:fullRef>
                </c:ext>
              </c:extLst>
              <c:f>('Sammenstilling Konsept 3.7'!$I$3:$I$4,'Sammenstilling Konsept 3.7'!$I$6:$I$7)</c:f>
              <c:strCache>
                <c:ptCount val="4"/>
                <c:pt idx="0">
                  <c:v>Spor</c:v>
                </c:pt>
                <c:pt idx="1">
                  <c:v>Omlasting (løft/lastespor)</c:v>
                </c:pt>
                <c:pt idx="2">
                  <c:v>Depot semihengere </c:v>
                </c:pt>
                <c:pt idx="3">
                  <c:v>Depot container/vekselflak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Konsept 3.7'!$M$3:$M$7</c15:sqref>
                  </c15:fullRef>
                </c:ext>
              </c:extLst>
              <c:f>('Sammenstilling Konsept 3.7'!$M$3:$M$4,'Sammenstilling Konsept 3.7'!$M$6:$M$7)</c:f>
              <c:numCache>
                <c:formatCode>#,##0</c:formatCode>
                <c:ptCount val="4"/>
                <c:pt idx="0">
                  <c:v>1123000</c:v>
                </c:pt>
                <c:pt idx="1">
                  <c:v>1123000</c:v>
                </c:pt>
                <c:pt idx="2">
                  <c:v>1123000</c:v>
                </c:pt>
                <c:pt idx="3">
                  <c:v>1123000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D8-42E5-BFA2-4259BBC0A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03096"/>
        <c:axId val="450898000"/>
      </c:lineChart>
      <c:catAx>
        <c:axId val="45090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0898000"/>
        <c:crosses val="autoZero"/>
        <c:auto val="1"/>
        <c:lblAlgn val="ctr"/>
        <c:lblOffset val="100"/>
        <c:noMultiLvlLbl val="0"/>
      </c:catAx>
      <c:valAx>
        <c:axId val="450898000"/>
        <c:scaling>
          <c:orientation val="minMax"/>
          <c:max val="1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090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Kostnader</a:t>
            </a:r>
            <a:r>
              <a:rPr lang="nb-NO" baseline="0"/>
              <a:t> per TEU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'Sammenstilling Konsept 3.7'!$I$36</c:f>
              <c:strCache>
                <c:ptCount val="1"/>
                <c:pt idx="0">
                  <c:v>Jernbane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'Sammenstilling Konsept 3.7'!$J$35:$K$35</c:f>
              <c:numCache>
                <c:formatCode>General</c:formatCode>
                <c:ptCount val="2"/>
                <c:pt idx="0">
                  <c:v>2040</c:v>
                </c:pt>
                <c:pt idx="1">
                  <c:v>2060</c:v>
                </c:pt>
              </c:numCache>
            </c:numRef>
          </c:cat>
          <c:val>
            <c:numRef>
              <c:f>'Sammenstilling Konsept 3.7'!$J$36:$K$36</c:f>
              <c:numCache>
                <c:formatCode>General</c:formatCode>
                <c:ptCount val="2"/>
                <c:pt idx="0">
                  <c:v>166</c:v>
                </c:pt>
                <c:pt idx="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3-4A36-BB35-A3E2D9C292DE}"/>
            </c:ext>
          </c:extLst>
        </c:ser>
        <c:ser>
          <c:idx val="1"/>
          <c:order val="1"/>
          <c:tx>
            <c:strRef>
              <c:f>'Sammenstilling Konsept 3.7'!$I$37</c:f>
              <c:strCache>
                <c:ptCount val="1"/>
                <c:pt idx="0">
                  <c:v>Terminal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'Sammenstilling Konsept 3.7'!$J$35:$K$35</c:f>
              <c:numCache>
                <c:formatCode>General</c:formatCode>
                <c:ptCount val="2"/>
                <c:pt idx="0">
                  <c:v>2040</c:v>
                </c:pt>
                <c:pt idx="1">
                  <c:v>2060</c:v>
                </c:pt>
              </c:numCache>
            </c:numRef>
          </c:cat>
          <c:val>
            <c:numRef>
              <c:f>'Sammenstilling Konsept 3.7'!$J$37:$K$37</c:f>
              <c:numCache>
                <c:formatCode>General</c:formatCode>
                <c:ptCount val="2"/>
                <c:pt idx="0">
                  <c:v>82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3-4A36-BB35-A3E2D9C292DE}"/>
            </c:ext>
          </c:extLst>
        </c:ser>
        <c:ser>
          <c:idx val="2"/>
          <c:order val="2"/>
          <c:tx>
            <c:strRef>
              <c:f>'Sammenstilling Konsept 3.7'!$I$38</c:f>
              <c:strCache>
                <c:ptCount val="1"/>
                <c:pt idx="0">
                  <c:v>Vei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'Sammenstilling Konsept 3.7'!$J$35:$K$35</c:f>
              <c:numCache>
                <c:formatCode>General</c:formatCode>
                <c:ptCount val="2"/>
                <c:pt idx="0">
                  <c:v>2040</c:v>
                </c:pt>
                <c:pt idx="1">
                  <c:v>2060</c:v>
                </c:pt>
              </c:numCache>
            </c:numRef>
          </c:cat>
          <c:val>
            <c:numRef>
              <c:f>'Sammenstilling Konsept 3.7'!$J$38:$K$38</c:f>
              <c:numCache>
                <c:formatCode>General</c:formatCode>
                <c:ptCount val="2"/>
                <c:pt idx="0">
                  <c:v>125</c:v>
                </c:pt>
                <c:pt idx="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33-4A36-BB35-A3E2D9C292DE}"/>
            </c:ext>
          </c:extLst>
        </c:ser>
        <c:ser>
          <c:idx val="3"/>
          <c:order val="3"/>
          <c:tx>
            <c:strRef>
              <c:f>'Sammenstilling Konsept 3.7'!$I$39</c:f>
              <c:strCache>
                <c:ptCount val="1"/>
                <c:pt idx="0">
                  <c:v>Faste kostnader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'Sammenstilling Konsept 3.7'!$J$35:$K$35</c:f>
              <c:numCache>
                <c:formatCode>General</c:formatCode>
                <c:ptCount val="2"/>
                <c:pt idx="0">
                  <c:v>2040</c:v>
                </c:pt>
                <c:pt idx="1">
                  <c:v>2060</c:v>
                </c:pt>
              </c:numCache>
            </c:numRef>
          </c:cat>
          <c:val>
            <c:numRef>
              <c:f>'Sammenstilling Konsept 3.7'!$J$39:$K$39</c:f>
              <c:numCache>
                <c:formatCode>General</c:formatCode>
                <c:ptCount val="2"/>
                <c:pt idx="0">
                  <c:v>10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33-4A36-BB35-A3E2D9C29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896432"/>
        <c:axId val="450896040"/>
      </c:barChart>
      <c:catAx>
        <c:axId val="45089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0896040"/>
        <c:crosses val="autoZero"/>
        <c:auto val="1"/>
        <c:lblAlgn val="ctr"/>
        <c:lblOffset val="100"/>
        <c:noMultiLvlLbl val="0"/>
      </c:catAx>
      <c:valAx>
        <c:axId val="450896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089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Konsept</a:t>
            </a:r>
            <a:r>
              <a:rPr lang="en-US" baseline="0"/>
              <a:t> 3.7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'Sammenstilling Konsept 3.7'!$N$35</c:f>
              <c:strCache>
                <c:ptCount val="1"/>
                <c:pt idx="0">
                  <c:v>Reduksjon i driftskostnader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'Sammenstilling Konsept 3.7'!$M$36:$M$38</c:f>
              <c:strCache>
                <c:ptCount val="3"/>
                <c:pt idx="0">
                  <c:v>Dagens situasjon</c:v>
                </c:pt>
                <c:pt idx="1">
                  <c:v>2040</c:v>
                </c:pt>
                <c:pt idx="2">
                  <c:v>2060</c:v>
                </c:pt>
              </c:strCache>
            </c:strRef>
          </c:cat>
          <c:val>
            <c:numRef>
              <c:f>'Sammenstilling Konsept 3.7'!$N$36:$N$38</c:f>
              <c:numCache>
                <c:formatCode>0%</c:formatCode>
                <c:ptCount val="3"/>
                <c:pt idx="0" formatCode="General">
                  <c:v>0</c:v>
                </c:pt>
                <c:pt idx="1">
                  <c:v>-0.16127450980392158</c:v>
                </c:pt>
                <c:pt idx="2">
                  <c:v>-0.20714285714285713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3-4741-8816-677DA26BA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53501912"/>
        <c:axId val="453497600"/>
      </c:barChart>
      <c:catAx>
        <c:axId val="453501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3497600"/>
        <c:crosses val="autoZero"/>
        <c:auto val="1"/>
        <c:lblAlgn val="ctr"/>
        <c:lblOffset val="100"/>
        <c:noMultiLvlLbl val="0"/>
      </c:catAx>
      <c:valAx>
        <c:axId val="453497600"/>
        <c:scaling>
          <c:orientation val="minMax"/>
          <c:max val="5.000000000000001E-2"/>
          <c:min val="-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3501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Implementering</a:t>
            </a:r>
            <a:r>
              <a:rPr lang="en-US" baseline="0"/>
              <a:t>skonsept 3.7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'Sammenstilling Konsept 3.7 impl'!$J$2</c:f>
              <c:strCache>
                <c:ptCount val="1"/>
                <c:pt idx="0">
                  <c:v>Kapasitet funksjoner [2040]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Konsept 3.7 impl'!$I$3:$I$7</c15:sqref>
                  </c15:fullRef>
                </c:ext>
              </c:extLst>
              <c:f>('Sammenstilling Konsept 3.7 impl'!$I$3:$I$4,'Sammenstilling Konsept 3.7 impl'!$I$6:$I$7)</c:f>
              <c:strCache>
                <c:ptCount val="4"/>
                <c:pt idx="0">
                  <c:v>Spor</c:v>
                </c:pt>
                <c:pt idx="1">
                  <c:v>Omlasting (løft/lastespor)</c:v>
                </c:pt>
                <c:pt idx="2">
                  <c:v>Depot semihengere </c:v>
                </c:pt>
                <c:pt idx="3">
                  <c:v>Depot container/vekselflak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Konsept 3.7 impl'!$J$3:$J$7</c15:sqref>
                  </c15:fullRef>
                </c:ext>
              </c:extLst>
              <c:f>('Sammenstilling Konsept 3.7 impl'!$J$3:$J$4,'Sammenstilling Konsept 3.7 impl'!$J$6:$J$7)</c:f>
              <c:numCache>
                <c:formatCode>#,##0</c:formatCode>
                <c:ptCount val="4"/>
                <c:pt idx="0">
                  <c:v>912000</c:v>
                </c:pt>
                <c:pt idx="1">
                  <c:v>858000</c:v>
                </c:pt>
                <c:pt idx="2">
                  <c:v>2232000</c:v>
                </c:pt>
                <c:pt idx="3">
                  <c:v>1832000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B-4F26-832B-1968F3AE99BE}"/>
            </c:ext>
          </c:extLst>
        </c:ser>
        <c:ser>
          <c:idx val="2"/>
          <c:order val="2"/>
          <c:tx>
            <c:strRef>
              <c:f>'Sammenstilling Konsept 3.7 impl'!$L$2</c:f>
              <c:strCache>
                <c:ptCount val="1"/>
                <c:pt idx="0">
                  <c:v>Kapasitet funksjoner [2060]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Konsept 3.7 impl'!$I$3:$I$7</c15:sqref>
                  </c15:fullRef>
                </c:ext>
              </c:extLst>
              <c:f>('Sammenstilling Konsept 3.7 impl'!$I$3:$I$4,'Sammenstilling Konsept 3.7 impl'!$I$6:$I$7)</c:f>
              <c:strCache>
                <c:ptCount val="4"/>
                <c:pt idx="0">
                  <c:v>Spor</c:v>
                </c:pt>
                <c:pt idx="1">
                  <c:v>Omlasting (løft/lastespor)</c:v>
                </c:pt>
                <c:pt idx="2">
                  <c:v>Depot semihengere </c:v>
                </c:pt>
                <c:pt idx="3">
                  <c:v>Depot container/vekselflak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Konsept 3.7 impl'!$L$3:$L$7</c15:sqref>
                  </c15:fullRef>
                </c:ext>
              </c:extLst>
              <c:f>('Sammenstilling Konsept 3.7 impl'!$L$3:$L$4,'Sammenstilling Konsept 3.7 impl'!$L$6:$L$7)</c:f>
              <c:numCache>
                <c:formatCode>#,##0</c:formatCode>
                <c:ptCount val="4"/>
                <c:pt idx="0">
                  <c:v>1112000</c:v>
                </c:pt>
                <c:pt idx="1">
                  <c:v>1062000</c:v>
                </c:pt>
                <c:pt idx="2">
                  <c:v>1837000</c:v>
                </c:pt>
                <c:pt idx="3">
                  <c:v>1485000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B-4F26-832B-1968F3AE9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3500344"/>
        <c:axId val="453500736"/>
      </c:barChart>
      <c:lineChart>
        <c:grouping val="standard"/>
        <c:varyColors val="0"/>
        <c:ser>
          <c:idx val="1"/>
          <c:order val="1"/>
          <c:tx>
            <c:strRef>
              <c:f>'Sammenstilling Konsept 3.7 impl'!$K$2</c:f>
              <c:strCache>
                <c:ptCount val="1"/>
                <c:pt idx="0">
                  <c:v>Forventet kapasitet [2040]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Konsept 3.7 impl'!$I$3:$I$7</c15:sqref>
                  </c15:fullRef>
                </c:ext>
              </c:extLst>
              <c:f>('Sammenstilling Konsept 3.7 impl'!$I$3:$I$4,'Sammenstilling Konsept 3.7 impl'!$I$6:$I$7)</c:f>
              <c:strCache>
                <c:ptCount val="4"/>
                <c:pt idx="0">
                  <c:v>Spor</c:v>
                </c:pt>
                <c:pt idx="1">
                  <c:v>Omlasting (løft/lastespor)</c:v>
                </c:pt>
                <c:pt idx="2">
                  <c:v>Depot semihengere </c:v>
                </c:pt>
                <c:pt idx="3">
                  <c:v>Depot container/vekselflak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Konsept 3.7 impl'!$K$3:$K$7</c15:sqref>
                  </c15:fullRef>
                </c:ext>
              </c:extLst>
              <c:f>('Sammenstilling Konsept 3.7 impl'!$K$3:$K$4,'Sammenstilling Konsept 3.7 impl'!$K$6:$K$7)</c:f>
              <c:numCache>
                <c:formatCode>#,##0</c:formatCode>
                <c:ptCount val="4"/>
                <c:pt idx="0">
                  <c:v>858000</c:v>
                </c:pt>
                <c:pt idx="1">
                  <c:v>858000</c:v>
                </c:pt>
                <c:pt idx="2">
                  <c:v>858000</c:v>
                </c:pt>
                <c:pt idx="3">
                  <c:v>858000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EB-4F26-832B-1968F3AE99BE}"/>
            </c:ext>
          </c:extLst>
        </c:ser>
        <c:ser>
          <c:idx val="3"/>
          <c:order val="3"/>
          <c:tx>
            <c:strRef>
              <c:f>'Sammenstilling Konsept 3.7 impl'!$M$2</c:f>
              <c:strCache>
                <c:ptCount val="1"/>
                <c:pt idx="0">
                  <c:v>Forventet kapasitet [2060]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'Sammenstilling Konsept 3.7 impl'!$I$3:$I$7</c15:sqref>
                  </c15:fullRef>
                </c:ext>
              </c:extLst>
              <c:f>('Sammenstilling Konsept 3.7 impl'!$I$3:$I$4,'Sammenstilling Konsept 3.7 impl'!$I$6:$I$7)</c:f>
              <c:strCache>
                <c:ptCount val="4"/>
                <c:pt idx="0">
                  <c:v>Spor</c:v>
                </c:pt>
                <c:pt idx="1">
                  <c:v>Omlasting (løft/lastespor)</c:v>
                </c:pt>
                <c:pt idx="2">
                  <c:v>Depot semihengere </c:v>
                </c:pt>
                <c:pt idx="3">
                  <c:v>Depot container/vekselflak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'Sammenstilling Konsept 3.7 impl'!$M$3:$M$7</c15:sqref>
                  </c15:fullRef>
                </c:ext>
              </c:extLst>
              <c:f>('Sammenstilling Konsept 3.7 impl'!$M$3:$M$4,'Sammenstilling Konsept 3.7 impl'!$M$6:$M$7)</c:f>
              <c:numCache>
                <c:formatCode>#,##0</c:formatCode>
                <c:ptCount val="4"/>
                <c:pt idx="0">
                  <c:v>1062000</c:v>
                </c:pt>
                <c:pt idx="1">
                  <c:v>1062000</c:v>
                </c:pt>
                <c:pt idx="2">
                  <c:v>1062000</c:v>
                </c:pt>
                <c:pt idx="3">
                  <c:v>1062000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B-4F26-832B-1968F3AE9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500344"/>
        <c:axId val="453500736"/>
      </c:lineChart>
      <c:catAx>
        <c:axId val="45350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3500736"/>
        <c:crosses val="autoZero"/>
        <c:auto val="1"/>
        <c:lblAlgn val="ctr"/>
        <c:lblOffset val="100"/>
        <c:noMultiLvlLbl val="0"/>
      </c:catAx>
      <c:valAx>
        <c:axId val="453500736"/>
        <c:scaling>
          <c:orientation val="minMax"/>
          <c:max val="1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3500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Kostnader</a:t>
            </a:r>
            <a:r>
              <a:rPr lang="nb-NO" baseline="0"/>
              <a:t> per TEU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'Sammenstilling Konsept 3.7 impl'!$I$36</c:f>
              <c:strCache>
                <c:ptCount val="1"/>
                <c:pt idx="0">
                  <c:v>Jernbane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'Sammenstilling Konsept 3.7 impl'!$J$35:$K$35</c:f>
              <c:numCache>
                <c:formatCode>General</c:formatCode>
                <c:ptCount val="2"/>
                <c:pt idx="0">
                  <c:v>2040</c:v>
                </c:pt>
                <c:pt idx="1">
                  <c:v>2060</c:v>
                </c:pt>
              </c:numCache>
            </c:numRef>
          </c:cat>
          <c:val>
            <c:numRef>
              <c:f>'Sammenstilling Konsept 3.7 impl'!$J$36:$K$36</c:f>
              <c:numCache>
                <c:formatCode>General</c:formatCode>
                <c:ptCount val="2"/>
                <c:pt idx="0">
                  <c:v>171</c:v>
                </c:pt>
                <c:pt idx="1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6-483B-84E8-E626253A0EF6}"/>
            </c:ext>
          </c:extLst>
        </c:ser>
        <c:ser>
          <c:idx val="1"/>
          <c:order val="1"/>
          <c:tx>
            <c:strRef>
              <c:f>'Sammenstilling Konsept 3.7 impl'!$I$37</c:f>
              <c:strCache>
                <c:ptCount val="1"/>
                <c:pt idx="0">
                  <c:v>Terminal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'Sammenstilling Konsept 3.7 impl'!$J$35:$K$35</c:f>
              <c:numCache>
                <c:formatCode>General</c:formatCode>
                <c:ptCount val="2"/>
                <c:pt idx="0">
                  <c:v>2040</c:v>
                </c:pt>
                <c:pt idx="1">
                  <c:v>2060</c:v>
                </c:pt>
              </c:numCache>
            </c:numRef>
          </c:cat>
          <c:val>
            <c:numRef>
              <c:f>'Sammenstilling Konsept 3.7 impl'!$J$37:$K$37</c:f>
              <c:numCache>
                <c:formatCode>General</c:formatCode>
                <c:ptCount val="2"/>
                <c:pt idx="0">
                  <c:v>75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6-483B-84E8-E626253A0EF6}"/>
            </c:ext>
          </c:extLst>
        </c:ser>
        <c:ser>
          <c:idx val="2"/>
          <c:order val="2"/>
          <c:tx>
            <c:strRef>
              <c:f>'Sammenstilling Konsept 3.7 impl'!$I$38</c:f>
              <c:strCache>
                <c:ptCount val="1"/>
                <c:pt idx="0">
                  <c:v>Vei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'Sammenstilling Konsept 3.7 impl'!$J$35:$K$35</c:f>
              <c:numCache>
                <c:formatCode>General</c:formatCode>
                <c:ptCount val="2"/>
                <c:pt idx="0">
                  <c:v>2040</c:v>
                </c:pt>
                <c:pt idx="1">
                  <c:v>2060</c:v>
                </c:pt>
              </c:numCache>
            </c:numRef>
          </c:cat>
          <c:val>
            <c:numRef>
              <c:f>'Sammenstilling Konsept 3.7 impl'!$J$38:$K$38</c:f>
              <c:numCache>
                <c:formatCode>General</c:formatCode>
                <c:ptCount val="2"/>
                <c:pt idx="0">
                  <c:v>125</c:v>
                </c:pt>
                <c:pt idx="1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66-483B-84E8-E626253A0EF6}"/>
            </c:ext>
          </c:extLst>
        </c:ser>
        <c:ser>
          <c:idx val="3"/>
          <c:order val="3"/>
          <c:tx>
            <c:strRef>
              <c:f>'Sammenstilling Konsept 3.7 impl'!$I$39</c:f>
              <c:strCache>
                <c:ptCount val="1"/>
                <c:pt idx="0">
                  <c:v>Faste kostnader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'Sammenstilling Konsept 3.7 impl'!$J$35:$K$35</c:f>
              <c:numCache>
                <c:formatCode>General</c:formatCode>
                <c:ptCount val="2"/>
                <c:pt idx="0">
                  <c:v>2040</c:v>
                </c:pt>
                <c:pt idx="1">
                  <c:v>2060</c:v>
                </c:pt>
              </c:numCache>
            </c:numRef>
          </c:cat>
          <c:val>
            <c:numRef>
              <c:f>'Sammenstilling Konsept 3.7 impl'!$J$39:$K$39</c:f>
              <c:numCache>
                <c:formatCode>General</c:formatCode>
                <c:ptCount val="2"/>
                <c:pt idx="0">
                  <c:v>10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66-483B-84E8-E626253A0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501520"/>
        <c:axId val="453499560"/>
      </c:barChart>
      <c:catAx>
        <c:axId val="45350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3499560"/>
        <c:crosses val="autoZero"/>
        <c:auto val="1"/>
        <c:lblAlgn val="ctr"/>
        <c:lblOffset val="100"/>
        <c:noMultiLvlLbl val="0"/>
      </c:catAx>
      <c:valAx>
        <c:axId val="45349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350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Implementeringskonsept 3.7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'Sammenstilling Konsept 3.7 impl'!$N$35</c:f>
              <c:strCache>
                <c:ptCount val="1"/>
                <c:pt idx="0">
                  <c:v>Reduksjon i driftskostnader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'Sammenstilling Konsept 3.7 impl'!$M$36:$M$38</c:f>
              <c:strCache>
                <c:ptCount val="3"/>
                <c:pt idx="0">
                  <c:v>Dagens situasjon</c:v>
                </c:pt>
                <c:pt idx="1">
                  <c:v>2040</c:v>
                </c:pt>
                <c:pt idx="2">
                  <c:v>2060</c:v>
                </c:pt>
              </c:strCache>
            </c:strRef>
          </c:cat>
          <c:val>
            <c:numRef>
              <c:f>'Sammenstilling Konsept 3.7 impl'!$N$36:$N$38</c:f>
              <c:numCache>
                <c:formatCode>0%</c:formatCode>
                <c:ptCount val="3"/>
                <c:pt idx="0" formatCode="General">
                  <c:v>0</c:v>
                </c:pt>
                <c:pt idx="1">
                  <c:v>-0.16617647058823531</c:v>
                </c:pt>
                <c:pt idx="2">
                  <c:v>-0.19693877551020408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7-4C42-9154-445A38B7E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53503872"/>
        <c:axId val="453499952"/>
      </c:barChart>
      <c:catAx>
        <c:axId val="4535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3499952"/>
        <c:crosses val="autoZero"/>
        <c:auto val="1"/>
        <c:lblAlgn val="ctr"/>
        <c:lblOffset val="100"/>
        <c:noMultiLvlLbl val="0"/>
      </c:catAx>
      <c:valAx>
        <c:axId val="453499952"/>
        <c:scaling>
          <c:orientation val="minMax"/>
          <c:max val="5.000000000000001E-2"/>
          <c:min val="-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35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32</xdr:row>
      <xdr:rowOff>21431</xdr:rowOff>
    </xdr:from>
    <xdr:to>
      <xdr:col>26</xdr:col>
      <xdr:colOff>521494</xdr:colOff>
      <xdr:row>53</xdr:row>
      <xdr:rowOff>33337</xdr:rowOff>
    </xdr:to>
    <xdr:pic>
      <xdr:nvPicPr>
        <xdr:cNvPr id="5" name="Bilde 2" descr="image00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0981" y="6129337"/>
          <a:ext cx="13435013" cy="401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537255</xdr:colOff>
      <xdr:row>2</xdr:row>
      <xdr:rowOff>43997</xdr:rowOff>
    </xdr:from>
    <xdr:to>
      <xdr:col>16</xdr:col>
      <xdr:colOff>51027</xdr:colOff>
      <xdr:row>6</xdr:row>
      <xdr:rowOff>147184</xdr:rowOff>
    </xdr:to>
    <xdr:pic>
      <xdr:nvPicPr>
        <xdr:cNvPr id="4" name="Picture 1" descr="image00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7184" y="406854"/>
          <a:ext cx="5555343" cy="828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203199</xdr:colOff>
      <xdr:row>8</xdr:row>
      <xdr:rowOff>88900</xdr:rowOff>
    </xdr:from>
    <xdr:to>
      <xdr:col>16</xdr:col>
      <xdr:colOff>375870</xdr:colOff>
      <xdr:row>19</xdr:row>
      <xdr:rowOff>165100</xdr:rowOff>
    </xdr:to>
    <xdr:pic>
      <xdr:nvPicPr>
        <xdr:cNvPr id="6" name="Bilde 2" descr="image00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699" y="1612900"/>
          <a:ext cx="3995371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44</xdr:row>
      <xdr:rowOff>104774</xdr:rowOff>
    </xdr:from>
    <xdr:to>
      <xdr:col>8</xdr:col>
      <xdr:colOff>820284</xdr:colOff>
      <xdr:row>69</xdr:row>
      <xdr:rowOff>127202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9486899"/>
          <a:ext cx="7934325" cy="47817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10</xdr:col>
      <xdr:colOff>792276</xdr:colOff>
      <xdr:row>66</xdr:row>
      <xdr:rowOff>170656</xdr:rowOff>
    </xdr:to>
    <xdr:pic>
      <xdr:nvPicPr>
        <xdr:cNvPr id="2" name="Bilde 2" descr="image00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3750"/>
          <a:ext cx="13920901" cy="3821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587374</xdr:colOff>
      <xdr:row>9</xdr:row>
      <xdr:rowOff>127000</xdr:rowOff>
    </xdr:from>
    <xdr:to>
      <xdr:col>11</xdr:col>
      <xdr:colOff>571499</xdr:colOff>
      <xdr:row>29</xdr:row>
      <xdr:rowOff>7938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1289050</xdr:colOff>
      <xdr:row>10</xdr:row>
      <xdr:rowOff>25400</xdr:rowOff>
    </xdr:from>
    <xdr:to>
      <xdr:col>17</xdr:col>
      <xdr:colOff>368300</xdr:colOff>
      <xdr:row>27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590550</xdr:colOff>
      <xdr:row>9</xdr:row>
      <xdr:rowOff>177800</xdr:rowOff>
    </xdr:from>
    <xdr:to>
      <xdr:col>25</xdr:col>
      <xdr:colOff>285750</xdr:colOff>
      <xdr:row>24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587375</xdr:colOff>
      <xdr:row>8</xdr:row>
      <xdr:rowOff>127000</xdr:rowOff>
    </xdr:from>
    <xdr:to>
      <xdr:col>11</xdr:col>
      <xdr:colOff>214313</xdr:colOff>
      <xdr:row>28</xdr:row>
      <xdr:rowOff>7938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1289050</xdr:colOff>
      <xdr:row>9</xdr:row>
      <xdr:rowOff>25400</xdr:rowOff>
    </xdr:from>
    <xdr:to>
      <xdr:col>17</xdr:col>
      <xdr:colOff>368300</xdr:colOff>
      <xdr:row>26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590550</xdr:colOff>
      <xdr:row>8</xdr:row>
      <xdr:rowOff>177800</xdr:rowOff>
    </xdr:from>
    <xdr:to>
      <xdr:col>25</xdr:col>
      <xdr:colOff>285750</xdr:colOff>
      <xdr:row>23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587375</xdr:colOff>
      <xdr:row>8</xdr:row>
      <xdr:rowOff>127000</xdr:rowOff>
    </xdr:from>
    <xdr:to>
      <xdr:col>11</xdr:col>
      <xdr:colOff>214313</xdr:colOff>
      <xdr:row>28</xdr:row>
      <xdr:rowOff>7938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1289050</xdr:colOff>
      <xdr:row>9</xdr:row>
      <xdr:rowOff>25400</xdr:rowOff>
    </xdr:from>
    <xdr:to>
      <xdr:col>17</xdr:col>
      <xdr:colOff>368300</xdr:colOff>
      <xdr:row>26</xdr:row>
      <xdr:rowOff>177800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590550</xdr:colOff>
      <xdr:row>8</xdr:row>
      <xdr:rowOff>177800</xdr:rowOff>
    </xdr:from>
    <xdr:to>
      <xdr:col>25</xdr:col>
      <xdr:colOff>285750</xdr:colOff>
      <xdr:row>23</xdr:row>
      <xdr:rowOff>63500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587375</xdr:colOff>
      <xdr:row>8</xdr:row>
      <xdr:rowOff>127000</xdr:rowOff>
    </xdr:from>
    <xdr:to>
      <xdr:col>12</xdr:col>
      <xdr:colOff>214313</xdr:colOff>
      <xdr:row>28</xdr:row>
      <xdr:rowOff>7938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1289050</xdr:colOff>
      <xdr:row>9</xdr:row>
      <xdr:rowOff>25400</xdr:rowOff>
    </xdr:from>
    <xdr:to>
      <xdr:col>18</xdr:col>
      <xdr:colOff>368300</xdr:colOff>
      <xdr:row>26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590550</xdr:colOff>
      <xdr:row>8</xdr:row>
      <xdr:rowOff>177800</xdr:rowOff>
    </xdr:from>
    <xdr:to>
      <xdr:col>26</xdr:col>
      <xdr:colOff>285750</xdr:colOff>
      <xdr:row>23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587375</xdr:colOff>
      <xdr:row>8</xdr:row>
      <xdr:rowOff>127000</xdr:rowOff>
    </xdr:from>
    <xdr:to>
      <xdr:col>12</xdr:col>
      <xdr:colOff>214313</xdr:colOff>
      <xdr:row>28</xdr:row>
      <xdr:rowOff>7938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1289050</xdr:colOff>
      <xdr:row>9</xdr:row>
      <xdr:rowOff>25400</xdr:rowOff>
    </xdr:from>
    <xdr:to>
      <xdr:col>18</xdr:col>
      <xdr:colOff>368300</xdr:colOff>
      <xdr:row>26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590550</xdr:colOff>
      <xdr:row>8</xdr:row>
      <xdr:rowOff>177800</xdr:rowOff>
    </xdr:from>
    <xdr:to>
      <xdr:col>26</xdr:col>
      <xdr:colOff>285750</xdr:colOff>
      <xdr:row>23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557212</xdr:colOff>
      <xdr:row>6</xdr:row>
      <xdr:rowOff>547687</xdr:rowOff>
    </xdr:from>
    <xdr:to>
      <xdr:col>17</xdr:col>
      <xdr:colOff>204787</xdr:colOff>
      <xdr:row>9</xdr:row>
      <xdr:rowOff>214312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4"/>
  <sheetViews>
    <sheetView zoomScale="60" zoomScaleNormal="60" workbookViewId="0">
      <selection activeCell="D44" sqref="D44"/>
    </sheetView>
  </sheetViews>
  <sheetFormatPr baseColWidth="10" defaultColWidth="10.85546875" defaultRowHeight="15" x14ac:dyDescent="0.25"/>
  <cols>
    <col min="1" max="1" width="33" customWidth="1"/>
    <col min="2" max="6" width="13.28515625" customWidth="1"/>
    <col min="10" max="10" width="16.7109375" customWidth="1"/>
  </cols>
  <sheetData>
    <row r="2" spans="1:11" ht="21" x14ac:dyDescent="0.35">
      <c r="A2" s="77" t="s">
        <v>107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11" ht="22.5" customHeight="1" x14ac:dyDescent="0.25">
      <c r="A3" s="46" t="s">
        <v>111</v>
      </c>
      <c r="J3" s="23" t="s">
        <v>11</v>
      </c>
      <c r="K3" s="17"/>
    </row>
    <row r="4" spans="1:11" x14ac:dyDescent="0.25">
      <c r="A4" s="1" t="s">
        <v>12</v>
      </c>
      <c r="J4" s="18" t="s">
        <v>122</v>
      </c>
      <c r="K4" s="65">
        <v>1</v>
      </c>
    </row>
    <row r="5" spans="1:11" x14ac:dyDescent="0.25">
      <c r="A5" s="4" t="s">
        <v>120</v>
      </c>
      <c r="B5" s="6">
        <f>Kapasitet!B29</f>
        <v>0.65789473684210531</v>
      </c>
      <c r="C5" s="6">
        <f>Kapasitet!C29</f>
        <v>1.0384210526315789</v>
      </c>
      <c r="D5" s="6">
        <f>Kapasitet!D29</f>
        <v>1.0105263157894737</v>
      </c>
      <c r="E5" s="6">
        <f>Kapasitet!E29</f>
        <v>0.84473684210526312</v>
      </c>
      <c r="F5" s="6">
        <f>Kapasitet!F29</f>
        <v>0.86315789473684212</v>
      </c>
      <c r="G5" t="s">
        <v>151</v>
      </c>
      <c r="J5" s="18" t="s">
        <v>123</v>
      </c>
      <c r="K5" s="65">
        <v>1</v>
      </c>
    </row>
    <row r="6" spans="1:11" x14ac:dyDescent="0.25">
      <c r="A6" s="4" t="s">
        <v>112</v>
      </c>
      <c r="B6">
        <f>Kapasitet!B30</f>
        <v>2</v>
      </c>
      <c r="C6">
        <f>Kapasitet!C30</f>
        <v>6</v>
      </c>
      <c r="D6">
        <f>Kapasitet!D30</f>
        <v>6</v>
      </c>
      <c r="E6">
        <f>Kapasitet!E30</f>
        <v>4</v>
      </c>
      <c r="F6">
        <f>Kapasitet!F30</f>
        <v>4</v>
      </c>
      <c r="J6" s="21" t="s">
        <v>124</v>
      </c>
      <c r="K6" s="66">
        <v>1</v>
      </c>
    </row>
    <row r="7" spans="1:11" x14ac:dyDescent="0.25">
      <c r="A7" s="4" t="s">
        <v>13</v>
      </c>
      <c r="B7">
        <f>Kapasitet!B31</f>
        <v>5</v>
      </c>
      <c r="C7">
        <f>Kapasitet!C31</f>
        <v>1</v>
      </c>
      <c r="D7">
        <f>Kapasitet!D31</f>
        <v>2</v>
      </c>
      <c r="E7">
        <f>Kapasitet!E31</f>
        <v>4</v>
      </c>
      <c r="F7">
        <f>Kapasitet!F31</f>
        <v>3</v>
      </c>
    </row>
    <row r="8" spans="1:11" x14ac:dyDescent="0.25">
      <c r="A8" s="4" t="s">
        <v>121</v>
      </c>
      <c r="B8">
        <f>B6*$K$4</f>
        <v>2</v>
      </c>
      <c r="C8">
        <f t="shared" ref="C8:F8" si="0">C6*$K$4</f>
        <v>6</v>
      </c>
      <c r="D8">
        <f t="shared" si="0"/>
        <v>6</v>
      </c>
      <c r="E8">
        <f t="shared" si="0"/>
        <v>4</v>
      </c>
      <c r="F8">
        <f t="shared" si="0"/>
        <v>4</v>
      </c>
    </row>
    <row r="9" spans="1:11" x14ac:dyDescent="0.25">
      <c r="A9" s="1" t="s">
        <v>9</v>
      </c>
    </row>
    <row r="10" spans="1:11" x14ac:dyDescent="0.25">
      <c r="A10" s="4" t="s">
        <v>106</v>
      </c>
      <c r="B10" s="6">
        <f>Driftseffektivitet!B34</f>
        <v>0.1</v>
      </c>
      <c r="C10" s="6">
        <f>Driftseffektivitet!C34</f>
        <v>0.18375000000000002</v>
      </c>
      <c r="D10" s="6">
        <f>Driftseffektivitet!D34</f>
        <v>0.18125000000000002</v>
      </c>
      <c r="E10" s="6">
        <f>Driftseffektivitet!E34</f>
        <v>0.16750000000000001</v>
      </c>
      <c r="F10" s="6">
        <f>Driftseffektivitet!F34</f>
        <v>0.12549999999999997</v>
      </c>
      <c r="G10" t="s">
        <v>151</v>
      </c>
    </row>
    <row r="11" spans="1:11" x14ac:dyDescent="0.25">
      <c r="A11" s="4" t="s">
        <v>112</v>
      </c>
      <c r="B11">
        <f>Driftseffektivitet!B35</f>
        <v>4</v>
      </c>
      <c r="C11">
        <f>Driftseffektivitet!C35</f>
        <v>5</v>
      </c>
      <c r="D11">
        <f>Driftseffektivitet!D35</f>
        <v>5</v>
      </c>
      <c r="E11">
        <f>Driftseffektivitet!E35</f>
        <v>5</v>
      </c>
      <c r="F11">
        <f>Driftseffektivitet!F35</f>
        <v>4</v>
      </c>
    </row>
    <row r="12" spans="1:11" x14ac:dyDescent="0.25">
      <c r="A12" s="4" t="s">
        <v>13</v>
      </c>
      <c r="B12">
        <f>Driftseffektivitet!B36</f>
        <v>5</v>
      </c>
      <c r="C12">
        <f>Driftseffektivitet!C36</f>
        <v>1</v>
      </c>
      <c r="D12">
        <f>Driftseffektivitet!D36</f>
        <v>2</v>
      </c>
      <c r="E12">
        <f>Driftseffektivitet!E36</f>
        <v>3</v>
      </c>
      <c r="F12">
        <f>Driftseffektivitet!F36</f>
        <v>4</v>
      </c>
    </row>
    <row r="13" spans="1:11" x14ac:dyDescent="0.25">
      <c r="A13" s="4" t="s">
        <v>121</v>
      </c>
      <c r="B13">
        <f>B11*$K$5</f>
        <v>4</v>
      </c>
      <c r="C13">
        <f t="shared" ref="C13:E13" si="1">C11*$K$5</f>
        <v>5</v>
      </c>
      <c r="D13">
        <f t="shared" si="1"/>
        <v>5</v>
      </c>
      <c r="E13">
        <f t="shared" si="1"/>
        <v>5</v>
      </c>
      <c r="F13">
        <f>F11*$K$5</f>
        <v>4</v>
      </c>
    </row>
    <row r="14" spans="1:11" x14ac:dyDescent="0.25">
      <c r="A14" s="1" t="s">
        <v>10</v>
      </c>
      <c r="H14" t="s">
        <v>15</v>
      </c>
    </row>
    <row r="15" spans="1:11" x14ac:dyDescent="0.25">
      <c r="A15" s="4" t="s">
        <v>106</v>
      </c>
      <c r="B15">
        <f>RAMS!B15</f>
        <v>75</v>
      </c>
      <c r="C15">
        <f>RAMS!C15</f>
        <v>56</v>
      </c>
      <c r="D15">
        <f>RAMS!D15</f>
        <v>58</v>
      </c>
      <c r="E15">
        <f>RAMS!E15</f>
        <v>67</v>
      </c>
      <c r="F15">
        <f>RAMS!F15</f>
        <v>70</v>
      </c>
    </row>
    <row r="16" spans="1:11" x14ac:dyDescent="0.25">
      <c r="A16" s="4" t="s">
        <v>112</v>
      </c>
      <c r="B16">
        <f>RAMS!B16</f>
        <v>3</v>
      </c>
      <c r="C16">
        <f>RAMS!C16</f>
        <v>5</v>
      </c>
      <c r="D16">
        <f>RAMS!D16</f>
        <v>5</v>
      </c>
      <c r="E16">
        <f>RAMS!E16</f>
        <v>4</v>
      </c>
      <c r="F16">
        <f>RAMS!F16</f>
        <v>3</v>
      </c>
    </row>
    <row r="17" spans="1:13" x14ac:dyDescent="0.25">
      <c r="A17" s="4" t="s">
        <v>13</v>
      </c>
      <c r="B17">
        <f>RAMS!B17</f>
        <v>5</v>
      </c>
      <c r="C17">
        <f>RAMS!C17</f>
        <v>1</v>
      </c>
      <c r="D17">
        <f>RAMS!D17</f>
        <v>2</v>
      </c>
      <c r="E17">
        <f>RAMS!E17</f>
        <v>3</v>
      </c>
      <c r="F17">
        <f>RAMS!F17</f>
        <v>4</v>
      </c>
    </row>
    <row r="18" spans="1:13" x14ac:dyDescent="0.25">
      <c r="A18" s="4" t="s">
        <v>121</v>
      </c>
      <c r="B18">
        <f>B16*$K$6</f>
        <v>3</v>
      </c>
      <c r="C18">
        <f t="shared" ref="C18:F18" si="2">C16*$K$6</f>
        <v>5</v>
      </c>
      <c r="D18">
        <f t="shared" si="2"/>
        <v>5</v>
      </c>
      <c r="E18">
        <f t="shared" si="2"/>
        <v>4</v>
      </c>
      <c r="F18">
        <f t="shared" si="2"/>
        <v>3</v>
      </c>
    </row>
    <row r="19" spans="1:13" x14ac:dyDescent="0.25">
      <c r="A19" s="4"/>
    </row>
    <row r="20" spans="1:13" x14ac:dyDescent="0.25">
      <c r="A20" s="1" t="s">
        <v>108</v>
      </c>
      <c r="B20">
        <f>B6+B11+B16</f>
        <v>9</v>
      </c>
      <c r="C20">
        <f t="shared" ref="C20:F20" si="3">C6+C11+C16</f>
        <v>16</v>
      </c>
      <c r="D20">
        <f t="shared" si="3"/>
        <v>16</v>
      </c>
      <c r="E20">
        <f t="shared" si="3"/>
        <v>13</v>
      </c>
      <c r="F20">
        <f t="shared" si="3"/>
        <v>11</v>
      </c>
    </row>
    <row r="21" spans="1:13" x14ac:dyDescent="0.25">
      <c r="A21" s="1" t="s">
        <v>13</v>
      </c>
      <c r="B21">
        <v>5</v>
      </c>
      <c r="C21">
        <v>1</v>
      </c>
      <c r="D21">
        <v>2</v>
      </c>
      <c r="E21">
        <v>3</v>
      </c>
      <c r="F21">
        <v>4</v>
      </c>
      <c r="J21" t="s">
        <v>15</v>
      </c>
    </row>
    <row r="22" spans="1:13" x14ac:dyDescent="0.25">
      <c r="A22" s="1" t="s">
        <v>125</v>
      </c>
      <c r="B22">
        <f>B8+B13+B18</f>
        <v>9</v>
      </c>
      <c r="C22">
        <f t="shared" ref="C22:F22" si="4">C8+C13+C18</f>
        <v>16</v>
      </c>
      <c r="D22">
        <f t="shared" si="4"/>
        <v>16</v>
      </c>
      <c r="E22">
        <f t="shared" si="4"/>
        <v>13</v>
      </c>
      <c r="F22">
        <f t="shared" si="4"/>
        <v>11</v>
      </c>
    </row>
    <row r="23" spans="1:13" x14ac:dyDescent="0.25">
      <c r="A23" s="1" t="s">
        <v>126</v>
      </c>
      <c r="M23" t="s">
        <v>15</v>
      </c>
    </row>
    <row r="25" spans="1:13" ht="15.75" x14ac:dyDescent="0.25">
      <c r="A25" s="46" t="s">
        <v>17</v>
      </c>
    </row>
    <row r="26" spans="1:13" x14ac:dyDescent="0.25">
      <c r="A26" s="1" t="s">
        <v>18</v>
      </c>
    </row>
    <row r="27" spans="1:13" x14ac:dyDescent="0.25">
      <c r="A27" s="4" t="s">
        <v>106</v>
      </c>
      <c r="C27" s="32">
        <f>'Risiko gjennomføring'!L55</f>
        <v>3.0408163265306123</v>
      </c>
      <c r="D27" s="32">
        <f>'Risiko gjennomføring'!M55</f>
        <v>3.0609756097560976</v>
      </c>
      <c r="E27" s="32">
        <f>'Risiko gjennomføring'!N55</f>
        <v>2.5517241379310347</v>
      </c>
      <c r="F27" s="32">
        <f>'Risiko gjennomføring'!O55</f>
        <v>2.6842105263157894</v>
      </c>
    </row>
    <row r="28" spans="1:13" x14ac:dyDescent="0.25">
      <c r="A28" s="4" t="s">
        <v>112</v>
      </c>
      <c r="C28" s="29">
        <f>'Risiko gjennomføring'!L56</f>
        <v>6</v>
      </c>
      <c r="D28" s="29">
        <f>'Risiko gjennomføring'!M56</f>
        <v>6</v>
      </c>
      <c r="E28" s="29">
        <f>'Risiko gjennomføring'!N56</f>
        <v>5</v>
      </c>
      <c r="F28" s="29">
        <f>'Risiko gjennomføring'!O56</f>
        <v>5</v>
      </c>
    </row>
    <row r="29" spans="1:13" x14ac:dyDescent="0.25">
      <c r="A29" s="4" t="s">
        <v>13</v>
      </c>
      <c r="C29" s="29">
        <f>'Risiko gjennomføring'!L57</f>
        <v>2</v>
      </c>
      <c r="D29" s="29">
        <f>'Risiko gjennomføring'!M57</f>
        <v>1</v>
      </c>
      <c r="E29" s="29">
        <f>'Risiko gjennomføring'!N57</f>
        <v>4</v>
      </c>
      <c r="F29" s="29">
        <f>'Risiko gjennomføring'!O57</f>
        <v>3</v>
      </c>
      <c r="K29" t="s">
        <v>15</v>
      </c>
    </row>
    <row r="31" spans="1:13" x14ac:dyDescent="0.25">
      <c r="A31" s="1" t="s">
        <v>19</v>
      </c>
    </row>
    <row r="32" spans="1:13" x14ac:dyDescent="0.25">
      <c r="A32" t="s">
        <v>109</v>
      </c>
      <c r="B32" s="12">
        <f>'Forventet kostnad'!B7</f>
        <v>2366.2696943595352</v>
      </c>
      <c r="C32" s="12">
        <f>'Forventet kostnad'!C7</f>
        <v>7914.7177697180941</v>
      </c>
      <c r="D32" s="12">
        <f>'Forventet kostnad'!D7</f>
        <v>6811.1907686229551</v>
      </c>
      <c r="E32" s="12">
        <f>'Forventet kostnad'!E7</f>
        <v>8904.8658208955221</v>
      </c>
      <c r="F32" s="12">
        <f>'Forventet kostnad'!F7</f>
        <v>6620.402914702101</v>
      </c>
    </row>
    <row r="33" spans="1:6" x14ac:dyDescent="0.25">
      <c r="A33" t="s">
        <v>110</v>
      </c>
      <c r="B33" s="12"/>
      <c r="C33" s="12">
        <f>'Forventet kostnad'!C8</f>
        <v>3</v>
      </c>
      <c r="D33" s="12">
        <f>'Forventet kostnad'!D8</f>
        <v>2</v>
      </c>
      <c r="E33" s="12">
        <f>'Forventet kostnad'!E8</f>
        <v>4</v>
      </c>
      <c r="F33" s="12">
        <f>'Forventet kostnad'!F8</f>
        <v>1</v>
      </c>
    </row>
    <row r="36" spans="1:6" ht="15.75" x14ac:dyDescent="0.25">
      <c r="A36" s="46"/>
    </row>
    <row r="37" spans="1:6" ht="15.75" x14ac:dyDescent="0.25">
      <c r="A37" s="78" t="s">
        <v>141</v>
      </c>
      <c r="B37" s="5" t="s">
        <v>3</v>
      </c>
      <c r="C37" s="5" t="s">
        <v>4</v>
      </c>
      <c r="D37" s="5" t="s">
        <v>5</v>
      </c>
      <c r="E37" s="5" t="s">
        <v>6</v>
      </c>
      <c r="F37" s="5" t="s">
        <v>7</v>
      </c>
    </row>
    <row r="38" spans="1:6" x14ac:dyDescent="0.25">
      <c r="A38" s="1" t="s">
        <v>142</v>
      </c>
      <c r="B38" s="8">
        <f>B21</f>
        <v>5</v>
      </c>
      <c r="C38" s="8">
        <f t="shared" ref="C38:F38" si="5">C21</f>
        <v>1</v>
      </c>
      <c r="D38" s="8">
        <f t="shared" si="5"/>
        <v>2</v>
      </c>
      <c r="E38" s="8">
        <f t="shared" si="5"/>
        <v>3</v>
      </c>
      <c r="F38" s="8">
        <f t="shared" si="5"/>
        <v>4</v>
      </c>
    </row>
    <row r="39" spans="1:6" x14ac:dyDescent="0.25">
      <c r="A39" s="1" t="s">
        <v>143</v>
      </c>
      <c r="B39" s="8"/>
      <c r="C39" s="84">
        <f>C29</f>
        <v>2</v>
      </c>
      <c r="D39" s="84">
        <f t="shared" ref="D39:F39" si="6">D29</f>
        <v>1</v>
      </c>
      <c r="E39" s="84">
        <f t="shared" si="6"/>
        <v>4</v>
      </c>
      <c r="F39" s="84">
        <f t="shared" si="6"/>
        <v>3</v>
      </c>
    </row>
    <row r="40" spans="1:6" x14ac:dyDescent="0.25">
      <c r="A40" s="1" t="s">
        <v>152</v>
      </c>
      <c r="B40" s="8"/>
      <c r="C40" s="8">
        <f>C33</f>
        <v>3</v>
      </c>
      <c r="D40" s="8">
        <f t="shared" ref="D40:F40" si="7">D33</f>
        <v>2</v>
      </c>
      <c r="E40" s="8">
        <f t="shared" si="7"/>
        <v>4</v>
      </c>
      <c r="F40" s="8">
        <f t="shared" si="7"/>
        <v>1</v>
      </c>
    </row>
    <row r="44" spans="1:6" x14ac:dyDescent="0.25">
      <c r="A44" t="s">
        <v>213</v>
      </c>
      <c r="C44">
        <f t="shared" ref="C44:F44" si="8">C6+C11+C16+C28</f>
        <v>22</v>
      </c>
      <c r="D44">
        <f t="shared" si="8"/>
        <v>22</v>
      </c>
      <c r="E44">
        <f t="shared" si="8"/>
        <v>18</v>
      </c>
      <c r="F44">
        <f t="shared" si="8"/>
        <v>16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N39"/>
  <sheetViews>
    <sheetView zoomScale="80" zoomScaleNormal="80" workbookViewId="0">
      <selection activeCell="F18" sqref="F18"/>
    </sheetView>
  </sheetViews>
  <sheetFormatPr baseColWidth="10" defaultColWidth="9.140625" defaultRowHeight="15" x14ac:dyDescent="0.25"/>
  <cols>
    <col min="2" max="2" width="31.140625" bestFit="1" customWidth="1"/>
    <col min="3" max="3" width="10.28515625" customWidth="1"/>
    <col min="4" max="4" width="11.85546875" bestFit="1" customWidth="1"/>
    <col min="5" max="5" width="5.42578125" bestFit="1" customWidth="1"/>
    <col min="9" max="9" width="25.42578125" customWidth="1"/>
    <col min="10" max="10" width="27.7109375" customWidth="1"/>
    <col min="11" max="11" width="25.42578125" customWidth="1"/>
    <col min="12" max="12" width="30" customWidth="1"/>
    <col min="13" max="13" width="14.85546875" bestFit="1" customWidth="1"/>
  </cols>
  <sheetData>
    <row r="2" spans="2:13" ht="45.75" thickBot="1" x14ac:dyDescent="0.3">
      <c r="B2" t="s">
        <v>4</v>
      </c>
      <c r="J2" s="1" t="s">
        <v>176</v>
      </c>
      <c r="K2" s="99" t="s">
        <v>181</v>
      </c>
      <c r="L2" t="s">
        <v>177</v>
      </c>
      <c r="M2" s="99" t="s">
        <v>182</v>
      </c>
    </row>
    <row r="3" spans="2:13" ht="15.75" thickBot="1" x14ac:dyDescent="0.3">
      <c r="C3" t="s">
        <v>172</v>
      </c>
      <c r="D3" t="s">
        <v>168</v>
      </c>
      <c r="F3" t="s">
        <v>8</v>
      </c>
      <c r="I3" s="100" t="s">
        <v>183</v>
      </c>
      <c r="J3" s="104">
        <f>Kapasitet!C5</f>
        <v>850000</v>
      </c>
      <c r="K3" s="103">
        <f>MIN($J$3:$J$7)</f>
        <v>850000</v>
      </c>
      <c r="L3" s="103">
        <f>Kapasitet!C17</f>
        <v>1123000</v>
      </c>
      <c r="M3" s="101">
        <f>MIN($L$3:$L$7)</f>
        <v>1123000</v>
      </c>
    </row>
    <row r="4" spans="2:13" ht="16.5" thickTop="1" thickBot="1" x14ac:dyDescent="0.3">
      <c r="B4" s="136" t="s">
        <v>12</v>
      </c>
      <c r="C4" s="8">
        <v>2040</v>
      </c>
      <c r="D4" s="96">
        <f>Kapasitet!C12</f>
        <v>850000</v>
      </c>
      <c r="E4" s="94" t="s">
        <v>54</v>
      </c>
      <c r="F4" s="134">
        <v>6</v>
      </c>
      <c r="I4" s="102" t="s">
        <v>218</v>
      </c>
      <c r="J4" s="103">
        <f>Kapasitet!C6</f>
        <v>932000</v>
      </c>
      <c r="K4" s="103">
        <f t="shared" ref="K4:K7" si="0">MIN($J$3:$J$7)</f>
        <v>850000</v>
      </c>
      <c r="L4" s="103">
        <f>Kapasitet!C18</f>
        <v>1156000</v>
      </c>
      <c r="M4" s="101">
        <f t="shared" ref="M4:M7" si="1">MIN($L$3:$L$7)</f>
        <v>1123000</v>
      </c>
    </row>
    <row r="5" spans="2:13" ht="15.75" thickBot="1" x14ac:dyDescent="0.3">
      <c r="B5" s="136"/>
      <c r="C5" s="8">
        <v>2060</v>
      </c>
      <c r="D5" s="96">
        <f>Kapasitet!C24</f>
        <v>1123000</v>
      </c>
      <c r="E5" s="94" t="s">
        <v>54</v>
      </c>
      <c r="F5" s="134"/>
      <c r="I5" s="102" t="s">
        <v>184</v>
      </c>
      <c r="J5" s="103"/>
      <c r="K5" s="103">
        <f t="shared" si="0"/>
        <v>850000</v>
      </c>
      <c r="L5" s="103"/>
      <c r="M5" s="101">
        <f t="shared" si="1"/>
        <v>1123000</v>
      </c>
    </row>
    <row r="6" spans="2:13" ht="15.75" thickBot="1" x14ac:dyDescent="0.3">
      <c r="B6" s="136" t="s">
        <v>9</v>
      </c>
      <c r="C6" s="8">
        <v>2040</v>
      </c>
      <c r="D6" s="96">
        <v>16</v>
      </c>
      <c r="E6" s="95" t="s">
        <v>171</v>
      </c>
      <c r="F6" s="134">
        <v>5</v>
      </c>
      <c r="I6" s="102" t="s">
        <v>191</v>
      </c>
      <c r="J6" s="103">
        <f>Kapasitet!C9</f>
        <v>8352000</v>
      </c>
      <c r="K6" s="103">
        <f t="shared" si="0"/>
        <v>850000</v>
      </c>
      <c r="L6" s="103">
        <f>Kapasitet!C21</f>
        <v>6556000</v>
      </c>
      <c r="M6" s="101">
        <f t="shared" si="1"/>
        <v>1123000</v>
      </c>
    </row>
    <row r="7" spans="2:13" ht="15.75" thickBot="1" x14ac:dyDescent="0.3">
      <c r="B7" s="136"/>
      <c r="C7" s="8">
        <v>2060</v>
      </c>
      <c r="D7" s="96">
        <v>21</v>
      </c>
      <c r="E7" s="95" t="s">
        <v>171</v>
      </c>
      <c r="F7" s="134"/>
      <c r="I7" s="102" t="s">
        <v>186</v>
      </c>
      <c r="J7" s="103">
        <f>Kapasitet!C10</f>
        <v>3032000</v>
      </c>
      <c r="K7" s="103">
        <f t="shared" si="0"/>
        <v>850000</v>
      </c>
      <c r="L7" s="103">
        <f>Kapasitet!C22</f>
        <v>2178000</v>
      </c>
      <c r="M7" s="101">
        <f t="shared" si="1"/>
        <v>1123000</v>
      </c>
    </row>
    <row r="8" spans="2:13" ht="15.75" thickBot="1" x14ac:dyDescent="0.3">
      <c r="B8" s="136" t="s">
        <v>159</v>
      </c>
      <c r="C8" s="8">
        <v>2040</v>
      </c>
      <c r="D8" s="135">
        <v>56</v>
      </c>
      <c r="E8" s="134"/>
      <c r="F8" s="134">
        <v>5</v>
      </c>
      <c r="I8" s="102" t="s">
        <v>190</v>
      </c>
      <c r="J8" s="103"/>
      <c r="K8" s="103"/>
      <c r="L8" s="103"/>
      <c r="M8" s="101"/>
    </row>
    <row r="9" spans="2:13" x14ac:dyDescent="0.25">
      <c r="B9" s="136"/>
      <c r="C9" s="8">
        <v>2060</v>
      </c>
      <c r="D9" s="135"/>
      <c r="E9" s="134"/>
      <c r="F9" s="134"/>
    </row>
    <row r="10" spans="2:13" x14ac:dyDescent="0.25">
      <c r="B10" s="97" t="s">
        <v>174</v>
      </c>
      <c r="F10" s="8">
        <f>SUM(F4:F9)</f>
        <v>16</v>
      </c>
    </row>
    <row r="12" spans="2:13" x14ac:dyDescent="0.25">
      <c r="B12" t="s">
        <v>4</v>
      </c>
      <c r="D12" t="s">
        <v>168</v>
      </c>
      <c r="F12" t="s">
        <v>8</v>
      </c>
    </row>
    <row r="13" spans="2:13" x14ac:dyDescent="0.25">
      <c r="B13" s="8" t="s">
        <v>18</v>
      </c>
      <c r="D13" s="98">
        <f>'Risiko gjennomføring'!C60</f>
        <v>3.0408163265306123</v>
      </c>
      <c r="E13" s="4"/>
      <c r="F13">
        <v>6</v>
      </c>
    </row>
    <row r="14" spans="2:13" x14ac:dyDescent="0.25">
      <c r="B14" t="s">
        <v>170</v>
      </c>
      <c r="D14" s="94">
        <f>'Forventet kostnad'!C7</f>
        <v>7914.7177697180941</v>
      </c>
      <c r="E14" s="94" t="s">
        <v>173</v>
      </c>
    </row>
    <row r="33" spans="9:14" x14ac:dyDescent="0.25">
      <c r="I33" t="s">
        <v>9</v>
      </c>
    </row>
    <row r="34" spans="9:14" x14ac:dyDescent="0.25">
      <c r="M34" t="s">
        <v>9</v>
      </c>
    </row>
    <row r="35" spans="9:14" x14ac:dyDescent="0.25">
      <c r="J35">
        <v>2040</v>
      </c>
      <c r="K35">
        <v>2060</v>
      </c>
      <c r="N35" t="s">
        <v>180</v>
      </c>
    </row>
    <row r="36" spans="9:14" x14ac:dyDescent="0.25">
      <c r="I36" t="s">
        <v>57</v>
      </c>
      <c r="J36">
        <f>Driftseffektivitet!C7</f>
        <v>166</v>
      </c>
      <c r="K36">
        <f>Driftseffektivitet!C21</f>
        <v>160</v>
      </c>
      <c r="M36" t="s">
        <v>179</v>
      </c>
      <c r="N36">
        <v>0</v>
      </c>
    </row>
    <row r="37" spans="9:14" x14ac:dyDescent="0.25">
      <c r="I37" t="s">
        <v>58</v>
      </c>
      <c r="J37">
        <f>Driftseffektivitet!C8</f>
        <v>82</v>
      </c>
      <c r="K37">
        <f>Driftseffektivitet!C22</f>
        <v>65</v>
      </c>
      <c r="M37">
        <v>2040</v>
      </c>
      <c r="N37" s="105">
        <f>Driftseffektivitet!C15*-1</f>
        <v>-0.16127450980392158</v>
      </c>
    </row>
    <row r="38" spans="9:14" x14ac:dyDescent="0.25">
      <c r="I38" t="s">
        <v>178</v>
      </c>
      <c r="J38">
        <f>Driftseffektivitet!C9</f>
        <v>125</v>
      </c>
      <c r="K38">
        <f>Driftseffektivitet!C23</f>
        <v>118</v>
      </c>
      <c r="M38">
        <v>2060</v>
      </c>
      <c r="N38" s="105">
        <f>Driftseffektivitet!C29*-1</f>
        <v>-0.20714285714285713</v>
      </c>
    </row>
    <row r="39" spans="9:14" x14ac:dyDescent="0.25">
      <c r="I39" t="s">
        <v>60</v>
      </c>
      <c r="J39">
        <f>Driftseffektivitet!C10</f>
        <v>10</v>
      </c>
      <c r="K39">
        <f>Driftseffektivitet!C24</f>
        <v>7</v>
      </c>
    </row>
  </sheetData>
  <mergeCells count="8">
    <mergeCell ref="B4:B5"/>
    <mergeCell ref="F4:F5"/>
    <mergeCell ref="B6:B7"/>
    <mergeCell ref="F6:F7"/>
    <mergeCell ref="B8:B9"/>
    <mergeCell ref="D8:D9"/>
    <mergeCell ref="F8:F9"/>
    <mergeCell ref="E8:E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N39"/>
  <sheetViews>
    <sheetView topLeftCell="D1" zoomScale="90" zoomScaleNormal="90" workbookViewId="0">
      <selection activeCell="L5" sqref="L5"/>
    </sheetView>
  </sheetViews>
  <sheetFormatPr baseColWidth="10" defaultColWidth="9.140625" defaultRowHeight="15" x14ac:dyDescent="0.25"/>
  <cols>
    <col min="2" max="2" width="31.140625" bestFit="1" customWidth="1"/>
    <col min="3" max="3" width="10.28515625" customWidth="1"/>
    <col min="4" max="4" width="11.85546875" bestFit="1" customWidth="1"/>
    <col min="5" max="5" width="5.42578125" bestFit="1" customWidth="1"/>
    <col min="9" max="9" width="19.85546875" customWidth="1"/>
    <col min="10" max="10" width="21.42578125" customWidth="1"/>
    <col min="11" max="11" width="14.85546875" customWidth="1"/>
    <col min="12" max="12" width="21.28515625" customWidth="1"/>
    <col min="13" max="13" width="22.85546875" customWidth="1"/>
  </cols>
  <sheetData>
    <row r="2" spans="2:13" ht="45.75" thickBot="1" x14ac:dyDescent="0.3">
      <c r="B2" t="s">
        <v>175</v>
      </c>
      <c r="J2" s="1" t="s">
        <v>176</v>
      </c>
      <c r="K2" s="99" t="s">
        <v>181</v>
      </c>
      <c r="L2" t="s">
        <v>177</v>
      </c>
      <c r="M2" s="99" t="s">
        <v>182</v>
      </c>
    </row>
    <row r="3" spans="2:13" ht="15.75" thickBot="1" x14ac:dyDescent="0.3">
      <c r="C3" t="s">
        <v>172</v>
      </c>
      <c r="D3" t="s">
        <v>168</v>
      </c>
      <c r="F3" t="s">
        <v>8</v>
      </c>
      <c r="I3" s="100" t="s">
        <v>183</v>
      </c>
      <c r="J3" s="104">
        <f>Kapasitet!D5</f>
        <v>912000</v>
      </c>
      <c r="K3" s="103">
        <f>MIN($J$3:$J$7)</f>
        <v>858000</v>
      </c>
      <c r="L3" s="103">
        <f>Kapasitet!D17</f>
        <v>1112000</v>
      </c>
      <c r="M3" s="101">
        <f>MIN($L$3:$L$7)</f>
        <v>1062000</v>
      </c>
    </row>
    <row r="4" spans="2:13" ht="31.5" thickTop="1" thickBot="1" x14ac:dyDescent="0.3">
      <c r="B4" s="136" t="s">
        <v>12</v>
      </c>
      <c r="C4" s="8">
        <v>2040</v>
      </c>
      <c r="D4" s="96">
        <f>Kapasitet!D12</f>
        <v>858000</v>
      </c>
      <c r="E4" s="94" t="s">
        <v>54</v>
      </c>
      <c r="F4" s="134">
        <f>Kapasitet!D30</f>
        <v>6</v>
      </c>
      <c r="I4" s="102" t="s">
        <v>218</v>
      </c>
      <c r="J4" s="103">
        <f>Kapasitet!D6</f>
        <v>858000</v>
      </c>
      <c r="K4" s="103">
        <f t="shared" ref="K4:K7" si="0">MIN($J$3:$J$7)</f>
        <v>858000</v>
      </c>
      <c r="L4" s="103">
        <f>Kapasitet!D18</f>
        <v>1062000</v>
      </c>
      <c r="M4" s="101">
        <f t="shared" ref="M4:M7" si="1">MIN($L$3:$L$7)</f>
        <v>1062000</v>
      </c>
    </row>
    <row r="5" spans="2:13" ht="15.75" thickBot="1" x14ac:dyDescent="0.3">
      <c r="B5" s="136"/>
      <c r="C5" s="8">
        <v>2060</v>
      </c>
      <c r="D5" s="96">
        <f>Kapasitet!D24</f>
        <v>1062000</v>
      </c>
      <c r="E5" s="94" t="s">
        <v>54</v>
      </c>
      <c r="F5" s="134"/>
      <c r="I5" s="102"/>
      <c r="J5" s="103"/>
      <c r="K5" s="103">
        <f t="shared" si="0"/>
        <v>858000</v>
      </c>
      <c r="L5" s="103"/>
      <c r="M5" s="101">
        <f t="shared" si="1"/>
        <v>1062000</v>
      </c>
    </row>
    <row r="6" spans="2:13" ht="15.75" thickBot="1" x14ac:dyDescent="0.3">
      <c r="B6" s="136" t="s">
        <v>9</v>
      </c>
      <c r="C6" s="8">
        <v>2040</v>
      </c>
      <c r="D6" s="96">
        <v>17</v>
      </c>
      <c r="E6" s="95" t="s">
        <v>171</v>
      </c>
      <c r="F6" s="134">
        <f>Driftseffektivitet!D35</f>
        <v>5</v>
      </c>
      <c r="I6" s="102" t="s">
        <v>191</v>
      </c>
      <c r="J6" s="103">
        <f>Kapasitet!D9</f>
        <v>2232000</v>
      </c>
      <c r="K6" s="103">
        <f t="shared" si="0"/>
        <v>858000</v>
      </c>
      <c r="L6" s="103">
        <f>Kapasitet!D21</f>
        <v>1837000</v>
      </c>
      <c r="M6" s="101">
        <f t="shared" si="1"/>
        <v>1062000</v>
      </c>
    </row>
    <row r="7" spans="2:13" ht="30.75" thickBot="1" x14ac:dyDescent="0.3">
      <c r="B7" s="136"/>
      <c r="C7" s="8">
        <v>2060</v>
      </c>
      <c r="D7" s="96">
        <v>20</v>
      </c>
      <c r="E7" s="95" t="s">
        <v>171</v>
      </c>
      <c r="F7" s="134"/>
      <c r="I7" s="102" t="s">
        <v>186</v>
      </c>
      <c r="J7" s="103">
        <f>Kapasitet!D10</f>
        <v>1832000</v>
      </c>
      <c r="K7" s="103">
        <f t="shared" si="0"/>
        <v>858000</v>
      </c>
      <c r="L7" s="103">
        <f>Kapasitet!D22</f>
        <v>1485000</v>
      </c>
      <c r="M7" s="101">
        <f t="shared" si="1"/>
        <v>1062000</v>
      </c>
    </row>
    <row r="8" spans="2:13" ht="30.75" thickBot="1" x14ac:dyDescent="0.3">
      <c r="B8" s="136" t="s">
        <v>159</v>
      </c>
      <c r="C8" s="8">
        <v>2040</v>
      </c>
      <c r="D8" s="135">
        <f>RAMS!D15</f>
        <v>58</v>
      </c>
      <c r="E8" s="134"/>
      <c r="F8" s="134">
        <v>5</v>
      </c>
      <c r="I8" s="102" t="s">
        <v>187</v>
      </c>
      <c r="J8" s="103"/>
      <c r="K8" s="103"/>
      <c r="L8" s="103"/>
      <c r="M8" s="101"/>
    </row>
    <row r="9" spans="2:13" x14ac:dyDescent="0.25">
      <c r="B9" s="136"/>
      <c r="C9" s="8">
        <v>2060</v>
      </c>
      <c r="D9" s="135"/>
      <c r="E9" s="134"/>
      <c r="F9" s="134"/>
    </row>
    <row r="10" spans="2:13" x14ac:dyDescent="0.25">
      <c r="B10" s="97" t="s">
        <v>174</v>
      </c>
      <c r="F10" s="8">
        <f>SUM(F4:F9)</f>
        <v>16</v>
      </c>
    </row>
    <row r="12" spans="2:13" x14ac:dyDescent="0.25">
      <c r="B12" t="s">
        <v>175</v>
      </c>
      <c r="D12" t="s">
        <v>168</v>
      </c>
      <c r="F12" t="s">
        <v>8</v>
      </c>
    </row>
    <row r="13" spans="2:13" x14ac:dyDescent="0.25">
      <c r="B13" s="8" t="s">
        <v>18</v>
      </c>
      <c r="D13" s="98">
        <f>'Risiko gjennomføring'!C63</f>
        <v>3.0609756097560976</v>
      </c>
      <c r="E13" s="4"/>
      <c r="F13">
        <v>6</v>
      </c>
    </row>
    <row r="14" spans="2:13" x14ac:dyDescent="0.25">
      <c r="B14" t="s">
        <v>170</v>
      </c>
      <c r="D14" s="94">
        <f>'Forventet kostnad'!D7</f>
        <v>6811.1907686229551</v>
      </c>
      <c r="E14" s="94" t="s">
        <v>173</v>
      </c>
    </row>
    <row r="33" spans="9:14" x14ac:dyDescent="0.25">
      <c r="I33" t="s">
        <v>9</v>
      </c>
    </row>
    <row r="34" spans="9:14" x14ac:dyDescent="0.25">
      <c r="M34" t="s">
        <v>9</v>
      </c>
    </row>
    <row r="35" spans="9:14" x14ac:dyDescent="0.25">
      <c r="J35">
        <v>2040</v>
      </c>
      <c r="K35">
        <v>2060</v>
      </c>
      <c r="N35" t="s">
        <v>180</v>
      </c>
    </row>
    <row r="36" spans="9:14" x14ac:dyDescent="0.25">
      <c r="I36" t="s">
        <v>57</v>
      </c>
      <c r="J36">
        <f>Driftseffektivitet!D7</f>
        <v>171</v>
      </c>
      <c r="K36">
        <f>Driftseffektivitet!D21</f>
        <v>166</v>
      </c>
      <c r="M36" t="s">
        <v>179</v>
      </c>
      <c r="N36">
        <v>0</v>
      </c>
    </row>
    <row r="37" spans="9:14" x14ac:dyDescent="0.25">
      <c r="I37" t="s">
        <v>58</v>
      </c>
      <c r="J37">
        <f>Driftseffektivitet!D8</f>
        <v>75</v>
      </c>
      <c r="K37">
        <f>Driftseffektivitet!D22</f>
        <v>62</v>
      </c>
      <c r="M37">
        <v>2040</v>
      </c>
      <c r="N37" s="105">
        <f>Driftseffektivitet!D15*-1</f>
        <v>-0.16617647058823531</v>
      </c>
    </row>
    <row r="38" spans="9:14" x14ac:dyDescent="0.25">
      <c r="I38" t="s">
        <v>178</v>
      </c>
      <c r="J38">
        <f>Driftseffektivitet!D9</f>
        <v>125</v>
      </c>
      <c r="K38">
        <f>Driftseffektivitet!D23</f>
        <v>119</v>
      </c>
      <c r="M38">
        <v>2060</v>
      </c>
      <c r="N38" s="105">
        <f>Driftseffektivitet!D29*-1</f>
        <v>-0.19693877551020408</v>
      </c>
    </row>
    <row r="39" spans="9:14" x14ac:dyDescent="0.25">
      <c r="I39" t="s">
        <v>60</v>
      </c>
      <c r="J39">
        <f>Driftseffektivitet!D10</f>
        <v>10</v>
      </c>
      <c r="K39">
        <f>Driftseffektivitet!D24</f>
        <v>7</v>
      </c>
    </row>
  </sheetData>
  <mergeCells count="8">
    <mergeCell ref="B4:B5"/>
    <mergeCell ref="F4:F5"/>
    <mergeCell ref="B6:B7"/>
    <mergeCell ref="F6:F7"/>
    <mergeCell ref="B8:B9"/>
    <mergeCell ref="D8:D9"/>
    <mergeCell ref="E8:E9"/>
    <mergeCell ref="F8:F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O39"/>
  <sheetViews>
    <sheetView topLeftCell="J1" zoomScale="80" zoomScaleNormal="80" workbookViewId="0">
      <selection activeCell="J4" sqref="J4"/>
    </sheetView>
  </sheetViews>
  <sheetFormatPr baseColWidth="10" defaultColWidth="9.140625" defaultRowHeight="15" x14ac:dyDescent="0.25"/>
  <cols>
    <col min="2" max="2" width="31.140625" bestFit="1" customWidth="1"/>
    <col min="3" max="3" width="10.28515625" customWidth="1"/>
    <col min="4" max="4" width="11.85546875" bestFit="1" customWidth="1"/>
    <col min="5" max="5" width="5.42578125" bestFit="1" customWidth="1"/>
    <col min="10" max="10" width="22.7109375" customWidth="1"/>
    <col min="11" max="11" width="24.42578125" customWidth="1"/>
    <col min="12" max="12" width="23.85546875" customWidth="1"/>
    <col min="13" max="13" width="27.5703125" customWidth="1"/>
    <col min="14" max="14" width="30.28515625" customWidth="1"/>
    <col min="15" max="15" width="29.140625" customWidth="1"/>
  </cols>
  <sheetData>
    <row r="2" spans="2:14" ht="30.75" thickBot="1" x14ac:dyDescent="0.3">
      <c r="B2" t="s">
        <v>6</v>
      </c>
      <c r="K2" s="1" t="s">
        <v>176</v>
      </c>
      <c r="L2" s="99" t="s">
        <v>181</v>
      </c>
      <c r="M2" t="s">
        <v>177</v>
      </c>
      <c r="N2" s="99" t="s">
        <v>182</v>
      </c>
    </row>
    <row r="3" spans="2:14" ht="15.75" thickBot="1" x14ac:dyDescent="0.3">
      <c r="C3" t="s">
        <v>172</v>
      </c>
      <c r="D3" t="s">
        <v>168</v>
      </c>
      <c r="F3" t="s">
        <v>8</v>
      </c>
      <c r="J3" s="100" t="s">
        <v>192</v>
      </c>
      <c r="K3" s="104">
        <f>Kapasitet!E5</f>
        <v>732000</v>
      </c>
      <c r="L3" s="103">
        <f>MIN($K$3:$K$7)</f>
        <v>732000</v>
      </c>
      <c r="M3" s="103">
        <f>Kapasitet!E17</f>
        <v>873000</v>
      </c>
      <c r="N3" s="101">
        <f>MIN($M$3:$M$7)</f>
        <v>873000</v>
      </c>
    </row>
    <row r="4" spans="2:14" ht="31.5" thickTop="1" thickBot="1" x14ac:dyDescent="0.3">
      <c r="B4" s="136" t="s">
        <v>12</v>
      </c>
      <c r="C4" s="8">
        <v>2040</v>
      </c>
      <c r="D4" s="96">
        <f>Kapasitet!E12</f>
        <v>732000</v>
      </c>
      <c r="E4" s="94" t="s">
        <v>54</v>
      </c>
      <c r="F4" s="134">
        <f>Kapasitet!E30</f>
        <v>4</v>
      </c>
      <c r="J4" s="102" t="s">
        <v>218</v>
      </c>
      <c r="K4" s="103">
        <f>Kapasitet!E6</f>
        <v>920000</v>
      </c>
      <c r="L4" s="103">
        <f t="shared" ref="L4:L7" si="0">MIN($K$3:$K$7)</f>
        <v>732000</v>
      </c>
      <c r="M4" s="103">
        <f>Kapasitet!E18</f>
        <v>1117000</v>
      </c>
      <c r="N4" s="101">
        <f t="shared" ref="N4:N7" si="1">MIN($M$3:$M$7)</f>
        <v>873000</v>
      </c>
    </row>
    <row r="5" spans="2:14" ht="15.75" thickBot="1" x14ac:dyDescent="0.3">
      <c r="B5" s="136"/>
      <c r="C5" s="8">
        <v>2060</v>
      </c>
      <c r="D5" s="96">
        <f>Kapasitet!E24</f>
        <v>873000</v>
      </c>
      <c r="E5" s="94" t="s">
        <v>54</v>
      </c>
      <c r="F5" s="134"/>
      <c r="J5" s="102"/>
      <c r="K5" s="103"/>
      <c r="L5" s="103">
        <f t="shared" si="0"/>
        <v>732000</v>
      </c>
      <c r="M5" s="103"/>
      <c r="N5" s="101">
        <f t="shared" si="1"/>
        <v>873000</v>
      </c>
    </row>
    <row r="6" spans="2:14" ht="15.75" thickBot="1" x14ac:dyDescent="0.3">
      <c r="B6" s="136" t="s">
        <v>9</v>
      </c>
      <c r="C6" s="8">
        <v>2040</v>
      </c>
      <c r="D6" s="96">
        <v>16</v>
      </c>
      <c r="E6" s="95" t="s">
        <v>171</v>
      </c>
      <c r="F6" s="134">
        <f>Driftseffektivitet!E35</f>
        <v>5</v>
      </c>
      <c r="J6" s="102" t="s">
        <v>185</v>
      </c>
      <c r="K6" s="103">
        <f>Kapasitet!E9</f>
        <v>3960000</v>
      </c>
      <c r="L6" s="103">
        <f t="shared" si="0"/>
        <v>732000</v>
      </c>
      <c r="M6" s="103">
        <f>Kapasitet!E21</f>
        <v>3300000</v>
      </c>
      <c r="N6" s="101">
        <f t="shared" si="1"/>
        <v>873000</v>
      </c>
    </row>
    <row r="7" spans="2:14" ht="30.75" thickBot="1" x14ac:dyDescent="0.3">
      <c r="B7" s="136"/>
      <c r="C7" s="8">
        <v>2060</v>
      </c>
      <c r="D7" s="96">
        <v>18</v>
      </c>
      <c r="E7" s="95" t="s">
        <v>171</v>
      </c>
      <c r="F7" s="134"/>
      <c r="J7" s="102" t="s">
        <v>193</v>
      </c>
      <c r="K7" s="103">
        <f>Kapasitet!E10</f>
        <v>2256000</v>
      </c>
      <c r="L7" s="103">
        <f t="shared" si="0"/>
        <v>732000</v>
      </c>
      <c r="M7" s="103">
        <f>Kapasitet!E22</f>
        <v>1870000</v>
      </c>
      <c r="N7" s="101">
        <f t="shared" si="1"/>
        <v>873000</v>
      </c>
    </row>
    <row r="8" spans="2:14" ht="15.75" thickBot="1" x14ac:dyDescent="0.3">
      <c r="B8" s="136" t="s">
        <v>159</v>
      </c>
      <c r="C8" s="8">
        <v>2040</v>
      </c>
      <c r="D8" s="135">
        <f>RAMS!E15</f>
        <v>67</v>
      </c>
      <c r="E8" s="134"/>
      <c r="F8" s="134">
        <f>RAMS!E16</f>
        <v>4</v>
      </c>
      <c r="J8" s="102" t="s">
        <v>190</v>
      </c>
      <c r="K8" s="103"/>
      <c r="L8" s="103"/>
      <c r="M8" s="103"/>
      <c r="N8" s="101"/>
    </row>
    <row r="9" spans="2:14" x14ac:dyDescent="0.25">
      <c r="B9" s="136"/>
      <c r="C9" s="8">
        <v>2060</v>
      </c>
      <c r="D9" s="135"/>
      <c r="E9" s="134"/>
      <c r="F9" s="134"/>
    </row>
    <row r="10" spans="2:14" x14ac:dyDescent="0.25">
      <c r="B10" s="97" t="s">
        <v>174</v>
      </c>
      <c r="F10" s="8">
        <f>SUM(F4:F9)</f>
        <v>13</v>
      </c>
    </row>
    <row r="12" spans="2:14" x14ac:dyDescent="0.25">
      <c r="B12" t="s">
        <v>6</v>
      </c>
      <c r="D12" t="s">
        <v>168</v>
      </c>
      <c r="F12" t="s">
        <v>8</v>
      </c>
    </row>
    <row r="13" spans="2:14" x14ac:dyDescent="0.25">
      <c r="B13" s="8" t="s">
        <v>18</v>
      </c>
      <c r="D13" s="98">
        <f>'Risiko gjennomføring'!H60</f>
        <v>2.5517241379310347</v>
      </c>
      <c r="E13" s="4"/>
      <c r="F13">
        <f>'Risiko gjennomføring'!N56</f>
        <v>5</v>
      </c>
    </row>
    <row r="14" spans="2:14" x14ac:dyDescent="0.25">
      <c r="B14" t="s">
        <v>170</v>
      </c>
      <c r="D14" s="94">
        <f>'Forventet kostnad'!E7</f>
        <v>8904.8658208955221</v>
      </c>
      <c r="E14" s="94" t="s">
        <v>173</v>
      </c>
    </row>
    <row r="33" spans="10:15" x14ac:dyDescent="0.25">
      <c r="J33" t="s">
        <v>9</v>
      </c>
    </row>
    <row r="34" spans="10:15" x14ac:dyDescent="0.25">
      <c r="N34" t="s">
        <v>9</v>
      </c>
    </row>
    <row r="35" spans="10:15" x14ac:dyDescent="0.25">
      <c r="K35">
        <v>2040</v>
      </c>
      <c r="L35">
        <v>2060</v>
      </c>
      <c r="O35" t="s">
        <v>180</v>
      </c>
    </row>
    <row r="36" spans="10:15" x14ac:dyDescent="0.25">
      <c r="J36" t="s">
        <v>57</v>
      </c>
      <c r="K36">
        <f>Driftseffektivitet!E7</f>
        <v>170</v>
      </c>
      <c r="L36">
        <f>Driftseffektivitet!E21</f>
        <v>164</v>
      </c>
      <c r="N36" t="s">
        <v>179</v>
      </c>
      <c r="O36">
        <v>0</v>
      </c>
    </row>
    <row r="37" spans="10:15" x14ac:dyDescent="0.25">
      <c r="J37" t="s">
        <v>58</v>
      </c>
      <c r="K37">
        <f>Driftseffektivitet!E8</f>
        <v>77</v>
      </c>
      <c r="L37">
        <f>Driftseffektivitet!E22</f>
        <v>68</v>
      </c>
      <c r="N37">
        <v>2040</v>
      </c>
      <c r="O37" s="105">
        <f>Driftseffektivitet!E15*-1</f>
        <v>-0.15637254901960784</v>
      </c>
    </row>
    <row r="38" spans="10:15" x14ac:dyDescent="0.25">
      <c r="J38" t="s">
        <v>178</v>
      </c>
      <c r="K38">
        <f>Driftseffektivitet!E9</f>
        <v>127</v>
      </c>
      <c r="L38">
        <f>Driftseffektivitet!E23</f>
        <v>120</v>
      </c>
      <c r="N38">
        <v>2060</v>
      </c>
      <c r="O38" s="105">
        <f>Driftseffektivitet!E29*-1</f>
        <v>-0.17908163265306123</v>
      </c>
    </row>
    <row r="39" spans="10:15" x14ac:dyDescent="0.25">
      <c r="J39" t="s">
        <v>60</v>
      </c>
      <c r="K39">
        <f>Driftseffektivitet!E10</f>
        <v>11</v>
      </c>
      <c r="L39">
        <f>Driftseffektivitet!E24</f>
        <v>9</v>
      </c>
    </row>
  </sheetData>
  <mergeCells count="8">
    <mergeCell ref="B4:B5"/>
    <mergeCell ref="F4:F5"/>
    <mergeCell ref="B6:B7"/>
    <mergeCell ref="F6:F7"/>
    <mergeCell ref="B8:B9"/>
    <mergeCell ref="D8:D9"/>
    <mergeCell ref="E8:E9"/>
    <mergeCell ref="F8:F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O39"/>
  <sheetViews>
    <sheetView topLeftCell="B1" zoomScale="60" zoomScaleNormal="60" workbookViewId="0">
      <selection activeCell="H19" sqref="H19"/>
    </sheetView>
  </sheetViews>
  <sheetFormatPr baseColWidth="10" defaultColWidth="9.140625" defaultRowHeight="15" x14ac:dyDescent="0.25"/>
  <cols>
    <col min="2" max="2" width="31.140625" bestFit="1" customWidth="1"/>
    <col min="3" max="3" width="10.28515625" customWidth="1"/>
    <col min="4" max="4" width="11.85546875" bestFit="1" customWidth="1"/>
    <col min="5" max="5" width="5.42578125" bestFit="1" customWidth="1"/>
    <col min="10" max="10" width="22.85546875" customWidth="1"/>
    <col min="11" max="11" width="27.140625" customWidth="1"/>
    <col min="12" max="12" width="26.42578125" customWidth="1"/>
    <col min="13" max="13" width="28.28515625" customWidth="1"/>
    <col min="14" max="14" width="28.5703125" customWidth="1"/>
  </cols>
  <sheetData>
    <row r="2" spans="2:14" ht="15.75" thickBot="1" x14ac:dyDescent="0.3">
      <c r="B2" t="s">
        <v>6</v>
      </c>
      <c r="K2" s="1" t="s">
        <v>176</v>
      </c>
      <c r="L2" s="99" t="s">
        <v>181</v>
      </c>
      <c r="M2" t="s">
        <v>177</v>
      </c>
      <c r="N2" s="99" t="s">
        <v>182</v>
      </c>
    </row>
    <row r="3" spans="2:14" ht="15.75" thickBot="1" x14ac:dyDescent="0.3">
      <c r="C3" t="s">
        <v>172</v>
      </c>
      <c r="D3" t="s">
        <v>168</v>
      </c>
      <c r="F3" t="s">
        <v>8</v>
      </c>
      <c r="J3" s="100" t="s">
        <v>194</v>
      </c>
      <c r="K3" s="104">
        <f>Kapasitet!F5</f>
        <v>748000</v>
      </c>
      <c r="L3" s="103">
        <f>MIN($K$3:$K$7)</f>
        <v>748000</v>
      </c>
      <c r="M3" s="103">
        <f>Kapasitet!F17</f>
        <v>892000</v>
      </c>
      <c r="N3" s="101">
        <f>MIN($M$3:$M$7)</f>
        <v>892000</v>
      </c>
    </row>
    <row r="4" spans="2:14" ht="31.5" thickTop="1" thickBot="1" x14ac:dyDescent="0.3">
      <c r="B4" s="136" t="s">
        <v>12</v>
      </c>
      <c r="C4" s="8">
        <v>2040</v>
      </c>
      <c r="D4" s="96">
        <f>Kapasitet!F12</f>
        <v>748000</v>
      </c>
      <c r="E4" s="94" t="s">
        <v>54</v>
      </c>
      <c r="F4" s="134">
        <f>Kapasitet!F30</f>
        <v>4</v>
      </c>
      <c r="J4" s="102" t="s">
        <v>218</v>
      </c>
      <c r="K4" s="103">
        <f>Kapasitet!F6</f>
        <v>945000</v>
      </c>
      <c r="L4" s="103">
        <f t="shared" ref="L4:L7" si="0">MIN($K$3:$K$7)</f>
        <v>748000</v>
      </c>
      <c r="M4" s="103">
        <f>Kapasitet!F18</f>
        <v>1167000</v>
      </c>
      <c r="N4" s="101">
        <f t="shared" ref="N4:N7" si="1">MIN($M$3:$M$7)</f>
        <v>892000</v>
      </c>
    </row>
    <row r="5" spans="2:14" ht="15.75" thickBot="1" x14ac:dyDescent="0.3">
      <c r="B5" s="136"/>
      <c r="C5" s="8">
        <v>2060</v>
      </c>
      <c r="D5" s="96">
        <f>Kapasitet!F24</f>
        <v>892000</v>
      </c>
      <c r="E5" s="94" t="s">
        <v>54</v>
      </c>
      <c r="F5" s="134"/>
      <c r="J5" s="102"/>
      <c r="K5" s="103"/>
      <c r="L5" s="103">
        <f t="shared" si="0"/>
        <v>748000</v>
      </c>
      <c r="M5" s="103"/>
      <c r="N5" s="101">
        <f t="shared" si="1"/>
        <v>892000</v>
      </c>
    </row>
    <row r="6" spans="2:14" ht="15.75" thickBot="1" x14ac:dyDescent="0.3">
      <c r="B6" s="136" t="s">
        <v>9</v>
      </c>
      <c r="C6" s="8">
        <v>2040</v>
      </c>
      <c r="D6" s="96">
        <v>12</v>
      </c>
      <c r="E6" s="95" t="s">
        <v>171</v>
      </c>
      <c r="F6" s="134">
        <v>4</v>
      </c>
      <c r="J6" s="102" t="s">
        <v>191</v>
      </c>
      <c r="K6" s="103">
        <f>Kapasitet!F9</f>
        <v>2440000</v>
      </c>
      <c r="L6" s="103">
        <f t="shared" si="0"/>
        <v>748000</v>
      </c>
      <c r="M6" s="103">
        <f>Kapasitet!F21</f>
        <v>2002000</v>
      </c>
      <c r="N6" s="101">
        <f t="shared" si="1"/>
        <v>892000</v>
      </c>
    </row>
    <row r="7" spans="2:14" ht="30.75" thickBot="1" x14ac:dyDescent="0.3">
      <c r="B7" s="136"/>
      <c r="C7" s="8">
        <v>2060</v>
      </c>
      <c r="D7" s="96">
        <v>13</v>
      </c>
      <c r="E7" s="95" t="s">
        <v>171</v>
      </c>
      <c r="F7" s="134"/>
      <c r="J7" s="102" t="s">
        <v>193</v>
      </c>
      <c r="K7" s="103">
        <f>Kapasitet!F10</f>
        <v>2192000</v>
      </c>
      <c r="L7" s="103">
        <f t="shared" si="0"/>
        <v>748000</v>
      </c>
      <c r="M7" s="103">
        <f>Kapasitet!F22</f>
        <v>1771000</v>
      </c>
      <c r="N7" s="101">
        <f t="shared" si="1"/>
        <v>892000</v>
      </c>
    </row>
    <row r="8" spans="2:14" ht="15.75" thickBot="1" x14ac:dyDescent="0.3">
      <c r="B8" s="136" t="s">
        <v>159</v>
      </c>
      <c r="C8" s="8">
        <v>2040</v>
      </c>
      <c r="D8" s="135">
        <f>RAMS!F15</f>
        <v>70</v>
      </c>
      <c r="E8" s="134"/>
      <c r="F8" s="134">
        <f>RAMS!F16</f>
        <v>3</v>
      </c>
      <c r="J8" s="102" t="s">
        <v>195</v>
      </c>
      <c r="K8" s="103"/>
      <c r="L8" s="103"/>
      <c r="M8" s="103"/>
      <c r="N8" s="101"/>
    </row>
    <row r="9" spans="2:14" x14ac:dyDescent="0.25">
      <c r="B9" s="136"/>
      <c r="C9" s="8">
        <v>2060</v>
      </c>
      <c r="D9" s="135"/>
      <c r="E9" s="134"/>
      <c r="F9" s="134"/>
    </row>
    <row r="10" spans="2:14" x14ac:dyDescent="0.25">
      <c r="B10" s="97" t="s">
        <v>174</v>
      </c>
      <c r="F10" s="8">
        <f>SUM(F4:F9)</f>
        <v>11</v>
      </c>
    </row>
    <row r="12" spans="2:14" x14ac:dyDescent="0.25">
      <c r="B12" t="s">
        <v>6</v>
      </c>
      <c r="D12" t="s">
        <v>168</v>
      </c>
      <c r="F12" t="s">
        <v>8</v>
      </c>
    </row>
    <row r="13" spans="2:14" x14ac:dyDescent="0.25">
      <c r="B13" s="8" t="s">
        <v>18</v>
      </c>
      <c r="D13" s="98">
        <f>'Risiko gjennomføring'!H63</f>
        <v>2.6842105263157894</v>
      </c>
      <c r="E13" s="4"/>
      <c r="F13">
        <f>'Risiko gjennomføring'!N56</f>
        <v>5</v>
      </c>
    </row>
    <row r="14" spans="2:14" x14ac:dyDescent="0.25">
      <c r="B14" t="s">
        <v>170</v>
      </c>
      <c r="D14" s="94">
        <f>'Forventet kostnad'!F7</f>
        <v>6620.402914702101</v>
      </c>
      <c r="E14" s="94" t="s">
        <v>173</v>
      </c>
    </row>
    <row r="33" spans="10:15" x14ac:dyDescent="0.25">
      <c r="J33" t="s">
        <v>9</v>
      </c>
    </row>
    <row r="34" spans="10:15" x14ac:dyDescent="0.25">
      <c r="N34" t="s">
        <v>9</v>
      </c>
    </row>
    <row r="35" spans="10:15" x14ac:dyDescent="0.25">
      <c r="K35">
        <v>2040</v>
      </c>
      <c r="L35">
        <v>2060</v>
      </c>
      <c r="O35" t="s">
        <v>180</v>
      </c>
    </row>
    <row r="36" spans="10:15" x14ac:dyDescent="0.25">
      <c r="J36" t="s">
        <v>57</v>
      </c>
      <c r="K36">
        <f>Driftseffektivitet!F7</f>
        <v>171</v>
      </c>
      <c r="L36" s="29">
        <f>Driftseffektivitet!F21</f>
        <v>166.3</v>
      </c>
      <c r="N36" t="s">
        <v>179</v>
      </c>
      <c r="O36">
        <v>0</v>
      </c>
    </row>
    <row r="37" spans="10:15" x14ac:dyDescent="0.25">
      <c r="J37" t="s">
        <v>58</v>
      </c>
      <c r="K37">
        <f>Driftseffektivitet!F8</f>
        <v>82</v>
      </c>
      <c r="L37" s="29">
        <f>Driftseffektivitet!F22</f>
        <v>73.3</v>
      </c>
      <c r="N37">
        <v>2040</v>
      </c>
      <c r="O37" s="105">
        <f>Driftseffektivitet!F15*-1</f>
        <v>-0.11715686274509804</v>
      </c>
    </row>
    <row r="38" spans="10:15" x14ac:dyDescent="0.25">
      <c r="J38" t="s">
        <v>178</v>
      </c>
      <c r="K38">
        <f>Driftseffektivitet!F9</f>
        <v>138</v>
      </c>
      <c r="L38" s="29">
        <f>Driftseffektivitet!F23</f>
        <v>130</v>
      </c>
      <c r="N38">
        <v>2060</v>
      </c>
      <c r="O38" s="105">
        <f>Driftseffektivitet!F29*-1</f>
        <v>-0.1341836734693877</v>
      </c>
    </row>
    <row r="39" spans="10:15" x14ac:dyDescent="0.25">
      <c r="J39" t="s">
        <v>60</v>
      </c>
      <c r="K39">
        <f>Driftseffektivitet!F10</f>
        <v>10</v>
      </c>
      <c r="L39" s="29">
        <f>Driftseffektivitet!F24</f>
        <v>9</v>
      </c>
    </row>
  </sheetData>
  <mergeCells count="8">
    <mergeCell ref="B4:B5"/>
    <mergeCell ref="F4:F5"/>
    <mergeCell ref="B6:B7"/>
    <mergeCell ref="F6:F7"/>
    <mergeCell ref="B8:B9"/>
    <mergeCell ref="D8:D9"/>
    <mergeCell ref="E8:E9"/>
    <mergeCell ref="F8:F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D3:P16"/>
  <sheetViews>
    <sheetView topLeftCell="G7" workbookViewId="0">
      <selection activeCell="S6" sqref="S6"/>
    </sheetView>
  </sheetViews>
  <sheetFormatPr baseColWidth="10" defaultColWidth="9.140625" defaultRowHeight="15" x14ac:dyDescent="0.25"/>
  <cols>
    <col min="4" max="4" width="16.7109375" customWidth="1"/>
    <col min="5" max="5" width="16.85546875" customWidth="1"/>
    <col min="6" max="6" width="17.42578125" customWidth="1"/>
    <col min="7" max="7" width="17.85546875" customWidth="1"/>
    <col min="8" max="8" width="17.140625" customWidth="1"/>
    <col min="9" max="9" width="15.7109375" customWidth="1"/>
    <col min="12" max="12" width="22.85546875" bestFit="1" customWidth="1"/>
    <col min="13" max="13" width="13.140625" customWidth="1"/>
    <col min="14" max="14" width="11.5703125" customWidth="1"/>
    <col min="15" max="15" width="9.5703125" bestFit="1" customWidth="1"/>
    <col min="16" max="16" width="12.5703125" customWidth="1"/>
  </cols>
  <sheetData>
    <row r="3" spans="4:16" ht="15.75" thickBot="1" x14ac:dyDescent="0.3"/>
    <row r="4" spans="4:16" ht="30.75" thickBot="1" x14ac:dyDescent="0.3">
      <c r="D4" s="107"/>
      <c r="E4" s="108" t="s">
        <v>3</v>
      </c>
      <c r="F4" s="108" t="s">
        <v>4</v>
      </c>
      <c r="G4" s="108" t="s">
        <v>5</v>
      </c>
      <c r="H4" s="108" t="s">
        <v>6</v>
      </c>
      <c r="I4" s="108" t="s">
        <v>7</v>
      </c>
      <c r="M4" s="108" t="s">
        <v>4</v>
      </c>
      <c r="N4" s="108" t="s">
        <v>5</v>
      </c>
      <c r="O4" s="108" t="s">
        <v>6</v>
      </c>
      <c r="P4" s="108" t="s">
        <v>7</v>
      </c>
    </row>
    <row r="5" spans="4:16" ht="31.5" thickTop="1" thickBot="1" x14ac:dyDescent="0.3">
      <c r="D5" s="109" t="s">
        <v>142</v>
      </c>
      <c r="E5" s="110">
        <v>5</v>
      </c>
      <c r="F5" s="110">
        <v>1</v>
      </c>
      <c r="G5" s="110">
        <v>2</v>
      </c>
      <c r="H5" s="110">
        <v>3</v>
      </c>
      <c r="I5" s="110">
        <v>4</v>
      </c>
      <c r="L5" t="s">
        <v>198</v>
      </c>
      <c r="M5" s="112">
        <f>Samleark!C44</f>
        <v>22</v>
      </c>
      <c r="N5" s="112">
        <f>Samleark!D44</f>
        <v>22</v>
      </c>
      <c r="O5" s="112">
        <f>Samleark!E44</f>
        <v>18</v>
      </c>
      <c r="P5" s="112">
        <f>Samleark!F44</f>
        <v>16</v>
      </c>
    </row>
    <row r="6" spans="4:16" ht="30.75" thickBot="1" x14ac:dyDescent="0.3">
      <c r="D6" s="109" t="s">
        <v>143</v>
      </c>
      <c r="E6" s="111"/>
      <c r="F6" s="110">
        <v>2</v>
      </c>
      <c r="G6" s="110">
        <v>1</v>
      </c>
      <c r="H6" s="110">
        <v>4</v>
      </c>
      <c r="I6" s="110">
        <v>3</v>
      </c>
      <c r="L6" t="s">
        <v>199</v>
      </c>
      <c r="M6" s="116">
        <f>7914.71776971809/1000</f>
        <v>7.9147177697180897</v>
      </c>
      <c r="N6" s="116">
        <f>6811.19076862296/1000</f>
        <v>6.8111907686229598</v>
      </c>
      <c r="O6" s="116">
        <f>8904.86582089552/1000</f>
        <v>8.9048658208955196</v>
      </c>
      <c r="P6" s="116">
        <f>6620.4029147021/1000</f>
        <v>6.6204029147021002</v>
      </c>
    </row>
    <row r="7" spans="4:16" ht="75.75" thickBot="1" x14ac:dyDescent="0.3">
      <c r="D7" s="109" t="s">
        <v>196</v>
      </c>
      <c r="E7" s="111"/>
      <c r="F7" s="110">
        <v>3</v>
      </c>
      <c r="G7" s="110">
        <v>2</v>
      </c>
      <c r="H7" s="110">
        <v>4</v>
      </c>
      <c r="I7" s="110">
        <v>1</v>
      </c>
    </row>
    <row r="8" spans="4:16" ht="15.75" thickBot="1" x14ac:dyDescent="0.3">
      <c r="D8" s="109"/>
      <c r="E8" s="111"/>
      <c r="F8" s="110"/>
      <c r="G8" s="110"/>
      <c r="H8" s="110"/>
      <c r="I8" s="110"/>
    </row>
    <row r="9" spans="4:16" ht="90.75" thickBot="1" x14ac:dyDescent="0.3">
      <c r="D9" s="109" t="s">
        <v>197</v>
      </c>
      <c r="E9" s="111"/>
      <c r="F9" s="110">
        <v>22</v>
      </c>
      <c r="G9" s="110">
        <v>21</v>
      </c>
      <c r="H9" s="110">
        <v>18</v>
      </c>
      <c r="I9" s="110">
        <v>16</v>
      </c>
    </row>
    <row r="10" spans="4:16" ht="15.75" thickBot="1" x14ac:dyDescent="0.3">
      <c r="D10" s="109" t="s">
        <v>13</v>
      </c>
      <c r="E10" s="111"/>
      <c r="F10" s="112">
        <v>1</v>
      </c>
      <c r="G10" s="112">
        <v>2</v>
      </c>
      <c r="H10" s="112">
        <v>3</v>
      </c>
      <c r="I10" s="112">
        <v>4</v>
      </c>
    </row>
    <row r="13" spans="4:16" ht="15.75" thickBot="1" x14ac:dyDescent="0.3"/>
    <row r="14" spans="4:16" ht="15.75" thickBot="1" x14ac:dyDescent="0.3">
      <c r="M14" s="108"/>
      <c r="N14" s="108"/>
      <c r="O14" s="108"/>
      <c r="P14" s="108"/>
    </row>
    <row r="15" spans="4:16" ht="16.5" thickTop="1" thickBot="1" x14ac:dyDescent="0.3">
      <c r="M15" s="115"/>
      <c r="N15" s="115"/>
      <c r="O15" s="115"/>
      <c r="P15" s="115"/>
    </row>
    <row r="16" spans="4:16" ht="15.75" thickBot="1" x14ac:dyDescent="0.3">
      <c r="L16" s="113"/>
      <c r="M16" s="11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R42"/>
  <sheetViews>
    <sheetView zoomScale="70" zoomScaleNormal="70" workbookViewId="0">
      <selection activeCell="G34" sqref="G34"/>
    </sheetView>
  </sheetViews>
  <sheetFormatPr baseColWidth="10" defaultColWidth="10.85546875" defaultRowHeight="15" x14ac:dyDescent="0.25"/>
  <cols>
    <col min="1" max="1" width="34.85546875" customWidth="1"/>
    <col min="2" max="2" width="12.42578125" bestFit="1" customWidth="1"/>
    <col min="3" max="4" width="12.5703125" bestFit="1" customWidth="1"/>
    <col min="5" max="5" width="13" customWidth="1"/>
    <col min="6" max="6" width="12.5703125" bestFit="1" customWidth="1"/>
    <col min="7" max="7" width="12.85546875" bestFit="1" customWidth="1"/>
    <col min="14" max="14" width="11" customWidth="1"/>
  </cols>
  <sheetData>
    <row r="4" spans="1:15" x14ac:dyDescent="0.25">
      <c r="A4" s="9">
        <v>2040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32</v>
      </c>
    </row>
    <row r="5" spans="1:15" x14ac:dyDescent="0.25">
      <c r="A5" s="10" t="s">
        <v>115</v>
      </c>
      <c r="B5" s="12">
        <v>640000</v>
      </c>
      <c r="C5" s="12">
        <v>850000</v>
      </c>
      <c r="D5" s="12">
        <v>912000</v>
      </c>
      <c r="E5" s="12">
        <v>732000</v>
      </c>
      <c r="F5" s="12">
        <v>748000</v>
      </c>
    </row>
    <row r="6" spans="1:15" x14ac:dyDescent="0.25">
      <c r="A6" s="10" t="s">
        <v>216</v>
      </c>
      <c r="B6" s="123">
        <v>708000</v>
      </c>
      <c r="C6" s="123">
        <v>932000</v>
      </c>
      <c r="D6" s="123">
        <v>858000</v>
      </c>
      <c r="E6" s="123">
        <v>920000</v>
      </c>
      <c r="F6" s="123">
        <v>945000</v>
      </c>
    </row>
    <row r="7" spans="1:15" x14ac:dyDescent="0.25">
      <c r="A7" s="124" t="s">
        <v>118</v>
      </c>
      <c r="B7" s="125">
        <f>M23*1000</f>
        <v>960000</v>
      </c>
      <c r="C7" s="125">
        <f>N23*1000</f>
        <v>911999.99999999988</v>
      </c>
      <c r="D7" s="125">
        <f t="shared" ref="D7:F7" si="0">O23*1000</f>
        <v>1104000</v>
      </c>
      <c r="E7" s="125">
        <f t="shared" si="0"/>
        <v>1160000</v>
      </c>
      <c r="F7" s="125">
        <f t="shared" si="0"/>
        <v>1120000</v>
      </c>
    </row>
    <row r="8" spans="1:15" x14ac:dyDescent="0.25">
      <c r="A8" s="124" t="s">
        <v>119</v>
      </c>
      <c r="B8" s="125">
        <f t="shared" ref="B8:C8" si="1">M24*1000</f>
        <v>680000</v>
      </c>
      <c r="C8" s="125">
        <f t="shared" si="1"/>
        <v>934736.84210526338</v>
      </c>
      <c r="D8" s="125">
        <f>O24*1000</f>
        <v>858947.3684210527</v>
      </c>
      <c r="E8" s="125">
        <f t="shared" ref="E8:E10" si="2">P24*1000</f>
        <v>872000.00000000012</v>
      </c>
      <c r="F8" s="125">
        <f t="shared" ref="F8:F10" si="3">Q24*1000</f>
        <v>903999.99999999988</v>
      </c>
      <c r="N8" s="72"/>
      <c r="O8" s="17"/>
    </row>
    <row r="9" spans="1:15" x14ac:dyDescent="0.25">
      <c r="A9" s="10" t="s">
        <v>150</v>
      </c>
      <c r="B9" s="127">
        <f t="shared" ref="B9:C9" si="4">M25*1000</f>
        <v>1248000</v>
      </c>
      <c r="C9" s="127">
        <f t="shared" si="4"/>
        <v>8352000</v>
      </c>
      <c r="D9" s="127">
        <f t="shared" ref="D9:D10" si="5">O25*1000</f>
        <v>2232000</v>
      </c>
      <c r="E9" s="127">
        <f t="shared" si="2"/>
        <v>3960000</v>
      </c>
      <c r="F9" s="127">
        <f t="shared" si="3"/>
        <v>2440000</v>
      </c>
      <c r="N9" s="75"/>
      <c r="O9" s="73"/>
    </row>
    <row r="10" spans="1:15" x14ac:dyDescent="0.25">
      <c r="A10" s="10" t="s">
        <v>149</v>
      </c>
      <c r="B10" s="127">
        <f t="shared" ref="B10:C10" si="6">M26*1000</f>
        <v>1104000</v>
      </c>
      <c r="C10" s="127">
        <f t="shared" si="6"/>
        <v>3032000</v>
      </c>
      <c r="D10" s="127">
        <f t="shared" si="5"/>
        <v>1832000</v>
      </c>
      <c r="E10" s="127">
        <f t="shared" si="2"/>
        <v>2256000</v>
      </c>
      <c r="F10" s="127">
        <f t="shared" si="3"/>
        <v>2192000</v>
      </c>
      <c r="N10" s="75"/>
      <c r="O10" s="73"/>
    </row>
    <row r="11" spans="1:15" x14ac:dyDescent="0.25">
      <c r="A11" s="10" t="s">
        <v>117</v>
      </c>
      <c r="B11" s="87">
        <v>600000</v>
      </c>
      <c r="C11" s="87"/>
      <c r="D11" s="87"/>
      <c r="E11" s="87"/>
      <c r="F11" s="87"/>
      <c r="G11" t="s">
        <v>162</v>
      </c>
      <c r="N11" s="75"/>
      <c r="O11" s="73"/>
    </row>
    <row r="12" spans="1:15" x14ac:dyDescent="0.25">
      <c r="A12" s="9" t="s">
        <v>21</v>
      </c>
      <c r="B12" s="12">
        <f>MIN(B5:B6,B9:B11)</f>
        <v>600000</v>
      </c>
      <c r="C12" s="12">
        <f t="shared" ref="C12:F12" si="7">MIN(C5:C6,C9:C11)</f>
        <v>850000</v>
      </c>
      <c r="D12" s="12">
        <f t="shared" si="7"/>
        <v>858000</v>
      </c>
      <c r="E12" s="12">
        <f t="shared" si="7"/>
        <v>732000</v>
      </c>
      <c r="F12" s="12">
        <f t="shared" si="7"/>
        <v>748000</v>
      </c>
      <c r="N12" s="75"/>
      <c r="O12" s="73"/>
    </row>
    <row r="13" spans="1:15" x14ac:dyDescent="0.25">
      <c r="A13" s="9" t="s">
        <v>22</v>
      </c>
      <c r="B13" s="6">
        <f>B12/$G$13</f>
        <v>0.75</v>
      </c>
      <c r="C13" s="6">
        <f t="shared" ref="C13:F13" si="8">C12/$G$13</f>
        <v>1.0625</v>
      </c>
      <c r="D13" s="6">
        <f>D12/$G$13</f>
        <v>1.0725</v>
      </c>
      <c r="E13" s="6">
        <f t="shared" si="8"/>
        <v>0.91500000000000004</v>
      </c>
      <c r="F13" s="6">
        <f t="shared" si="8"/>
        <v>0.93500000000000005</v>
      </c>
      <c r="G13" s="12">
        <v>800000</v>
      </c>
      <c r="N13" s="75"/>
      <c r="O13" s="73"/>
    </row>
    <row r="14" spans="1:15" x14ac:dyDescent="0.25">
      <c r="A14" s="9"/>
      <c r="N14" s="75"/>
      <c r="O14" s="73"/>
    </row>
    <row r="15" spans="1:15" x14ac:dyDescent="0.25">
      <c r="A15" s="9"/>
      <c r="N15" s="75"/>
      <c r="O15" s="73"/>
    </row>
    <row r="16" spans="1:15" x14ac:dyDescent="0.25">
      <c r="A16" s="9">
        <v>2060</v>
      </c>
      <c r="B16" s="5" t="s">
        <v>3</v>
      </c>
      <c r="C16" s="5" t="s">
        <v>4</v>
      </c>
      <c r="D16" s="5" t="s">
        <v>5</v>
      </c>
      <c r="E16" s="5" t="s">
        <v>6</v>
      </c>
      <c r="F16" s="5" t="s">
        <v>7</v>
      </c>
      <c r="G16" s="5" t="s">
        <v>32</v>
      </c>
      <c r="L16" t="s">
        <v>15</v>
      </c>
      <c r="N16" s="76"/>
      <c r="O16" s="74"/>
    </row>
    <row r="17" spans="1:18" x14ac:dyDescent="0.25">
      <c r="A17" s="10" t="s">
        <v>115</v>
      </c>
      <c r="B17" s="12">
        <v>815000</v>
      </c>
      <c r="C17" s="12">
        <v>1123000</v>
      </c>
      <c r="D17" s="12">
        <v>1112000</v>
      </c>
      <c r="E17" s="12">
        <v>873000</v>
      </c>
      <c r="F17" s="12">
        <v>892000</v>
      </c>
    </row>
    <row r="18" spans="1:18" x14ac:dyDescent="0.25">
      <c r="A18" s="10" t="s">
        <v>215</v>
      </c>
      <c r="B18" s="12">
        <v>870000</v>
      </c>
      <c r="C18" s="12">
        <v>1156000</v>
      </c>
      <c r="D18" s="12">
        <v>1062000</v>
      </c>
      <c r="E18" s="12">
        <v>1117000</v>
      </c>
      <c r="F18" s="12">
        <v>1167000</v>
      </c>
    </row>
    <row r="19" spans="1:18" x14ac:dyDescent="0.25">
      <c r="A19" s="124" t="s">
        <v>118</v>
      </c>
      <c r="B19" s="125">
        <f>M28*1000</f>
        <v>1221000</v>
      </c>
      <c r="C19" s="125">
        <f t="shared" ref="C19:F19" si="9">N28*1000</f>
        <v>1122000</v>
      </c>
      <c r="D19" s="125">
        <f t="shared" si="9"/>
        <v>1397000</v>
      </c>
      <c r="E19" s="125">
        <f t="shared" si="9"/>
        <v>1474000</v>
      </c>
      <c r="F19" s="125">
        <f t="shared" si="9"/>
        <v>1408000</v>
      </c>
    </row>
    <row r="20" spans="1:18" x14ac:dyDescent="0.25">
      <c r="A20" s="124" t="s">
        <v>119</v>
      </c>
      <c r="B20" s="125">
        <f t="shared" ref="B20:B22" si="10">M29*1000</f>
        <v>836000</v>
      </c>
      <c r="C20" s="125">
        <f>N29*1000</f>
        <v>1181052.6315789474</v>
      </c>
      <c r="D20" s="125">
        <f t="shared" ref="D20:D22" si="11">O29*1000</f>
        <v>1065263.1578947369</v>
      </c>
      <c r="E20" s="125">
        <f t="shared" ref="E20:E22" si="12">P29*1000</f>
        <v>1056000</v>
      </c>
      <c r="F20" s="125">
        <f t="shared" ref="F20:F22" si="13">Q29*1000</f>
        <v>1111000</v>
      </c>
      <c r="L20" t="s">
        <v>15</v>
      </c>
    </row>
    <row r="21" spans="1:18" x14ac:dyDescent="0.25">
      <c r="A21" s="10" t="s">
        <v>150</v>
      </c>
      <c r="B21" s="126">
        <f t="shared" si="10"/>
        <v>1034000</v>
      </c>
      <c r="C21" s="126">
        <f t="shared" ref="C21:C22" si="14">N30*1000</f>
        <v>6556000</v>
      </c>
      <c r="D21" s="126">
        <f t="shared" si="11"/>
        <v>1837000</v>
      </c>
      <c r="E21" s="126">
        <f t="shared" si="12"/>
        <v>3300000</v>
      </c>
      <c r="F21" s="126">
        <f t="shared" si="13"/>
        <v>2002000</v>
      </c>
      <c r="H21" t="s">
        <v>15</v>
      </c>
      <c r="L21">
        <v>800</v>
      </c>
      <c r="M21" t="s">
        <v>148</v>
      </c>
      <c r="N21" s="85" t="s">
        <v>33</v>
      </c>
      <c r="O21" t="s">
        <v>5</v>
      </c>
      <c r="P21" t="s">
        <v>34</v>
      </c>
      <c r="Q21" t="s">
        <v>7</v>
      </c>
    </row>
    <row r="22" spans="1:18" x14ac:dyDescent="0.25">
      <c r="A22" s="10" t="s">
        <v>149</v>
      </c>
      <c r="B22" s="126">
        <f t="shared" si="10"/>
        <v>946000</v>
      </c>
      <c r="C22" s="126">
        <f t="shared" si="14"/>
        <v>2178000</v>
      </c>
      <c r="D22" s="126">
        <f t="shared" si="11"/>
        <v>1485000</v>
      </c>
      <c r="E22" s="126">
        <f t="shared" si="12"/>
        <v>1870000</v>
      </c>
      <c r="F22" s="126">
        <f t="shared" si="13"/>
        <v>1771000</v>
      </c>
      <c r="N22" s="85"/>
    </row>
    <row r="23" spans="1:18" x14ac:dyDescent="0.25">
      <c r="A23" s="10" t="s">
        <v>117</v>
      </c>
      <c r="B23" s="87">
        <v>650000</v>
      </c>
      <c r="C23" s="87"/>
      <c r="D23" s="87"/>
      <c r="E23" s="87"/>
      <c r="F23" s="87"/>
      <c r="G23" t="s">
        <v>162</v>
      </c>
      <c r="K23" s="1">
        <v>2040</v>
      </c>
      <c r="L23" t="s">
        <v>144</v>
      </c>
      <c r="M23" s="12">
        <f>L21*1.2</f>
        <v>960</v>
      </c>
      <c r="N23" s="12">
        <f>L21*1.14</f>
        <v>911.99999999999989</v>
      </c>
      <c r="O23" s="12">
        <f>L21*1.38</f>
        <v>1104</v>
      </c>
      <c r="P23" s="12">
        <f>L21*1.45</f>
        <v>1160</v>
      </c>
      <c r="Q23" s="12">
        <f>L21*1.4</f>
        <v>1120</v>
      </c>
    </row>
    <row r="24" spans="1:18" x14ac:dyDescent="0.25">
      <c r="A24" s="9" t="s">
        <v>23</v>
      </c>
      <c r="B24" s="12">
        <f>MIN(B17:B18,B21:B23)</f>
        <v>650000</v>
      </c>
      <c r="C24" s="12">
        <f t="shared" ref="C24:F24" si="15">MIN(C17:C18,C21:C23)</f>
        <v>1123000</v>
      </c>
      <c r="D24" s="12">
        <f t="shared" si="15"/>
        <v>1062000</v>
      </c>
      <c r="E24" s="12">
        <f t="shared" si="15"/>
        <v>873000</v>
      </c>
      <c r="F24" s="12">
        <f t="shared" si="15"/>
        <v>892000</v>
      </c>
      <c r="L24" t="s">
        <v>145</v>
      </c>
      <c r="M24" s="12">
        <f>L21*0.85</f>
        <v>680</v>
      </c>
      <c r="N24" s="122">
        <f>L21*1.11/0.95</f>
        <v>934.73684210526335</v>
      </c>
      <c r="O24" s="122">
        <f>L21*1.02/0.95</f>
        <v>858.94736842105272</v>
      </c>
      <c r="P24" s="12">
        <f>L21*1.09</f>
        <v>872.00000000000011</v>
      </c>
      <c r="Q24" s="12">
        <f>L21*1.13</f>
        <v>903.99999999999989</v>
      </c>
    </row>
    <row r="25" spans="1:18" x14ac:dyDescent="0.25">
      <c r="A25" s="9" t="s">
        <v>24</v>
      </c>
      <c r="B25" s="6">
        <f>B24/$G$25</f>
        <v>0.59090909090909094</v>
      </c>
      <c r="C25" s="6">
        <f>C24/$G$25</f>
        <v>1.020909090909091</v>
      </c>
      <c r="D25" s="6">
        <f t="shared" ref="D25:F25" si="16">D24/$G$25</f>
        <v>0.96545454545454545</v>
      </c>
      <c r="E25" s="6">
        <f t="shared" si="16"/>
        <v>0.79363636363636358</v>
      </c>
      <c r="F25" s="6">
        <f t="shared" si="16"/>
        <v>0.81090909090909091</v>
      </c>
      <c r="G25" s="12">
        <v>1100000</v>
      </c>
      <c r="L25" t="s">
        <v>146</v>
      </c>
      <c r="M25" s="12">
        <f>L21*1.56</f>
        <v>1248</v>
      </c>
      <c r="N25" s="12">
        <f>L21*10.44</f>
        <v>8352</v>
      </c>
      <c r="O25" s="12">
        <f>L21*2.79</f>
        <v>2232</v>
      </c>
      <c r="P25" s="12">
        <f>+L21*4.95</f>
        <v>3960</v>
      </c>
      <c r="Q25" s="12">
        <f>L21*3.05</f>
        <v>2440</v>
      </c>
    </row>
    <row r="26" spans="1:18" x14ac:dyDescent="0.25">
      <c r="L26" t="s">
        <v>147</v>
      </c>
      <c r="M26" s="12">
        <f>L21*1.38</f>
        <v>1104</v>
      </c>
      <c r="N26" s="12">
        <f>L21*3.79</f>
        <v>3032</v>
      </c>
      <c r="O26" s="12">
        <f>L21*2.29</f>
        <v>1832</v>
      </c>
      <c r="P26" s="12">
        <f>L21*2.82</f>
        <v>2256</v>
      </c>
      <c r="Q26" s="12">
        <f>L21*2.74</f>
        <v>2192</v>
      </c>
    </row>
    <row r="28" spans="1:18" ht="15.75" x14ac:dyDescent="0.25">
      <c r="A28" s="46" t="s">
        <v>113</v>
      </c>
      <c r="K28" s="1">
        <v>2060</v>
      </c>
      <c r="L28" t="s">
        <v>144</v>
      </c>
      <c r="M28" s="12">
        <f>R28*1.11</f>
        <v>1221</v>
      </c>
      <c r="N28" s="12">
        <f>R28*1.02</f>
        <v>1122</v>
      </c>
      <c r="O28" s="12">
        <f>R28*1.27</f>
        <v>1397</v>
      </c>
      <c r="P28" s="12">
        <f>R28*1.34</f>
        <v>1474</v>
      </c>
      <c r="Q28">
        <f>R28*1.28</f>
        <v>1408</v>
      </c>
      <c r="R28">
        <v>1100</v>
      </c>
    </row>
    <row r="29" spans="1:18" x14ac:dyDescent="0.25">
      <c r="A29" t="s">
        <v>114</v>
      </c>
      <c r="B29" s="6">
        <f>(B12+B24)/($G$13+$G$25)</f>
        <v>0.65789473684210531</v>
      </c>
      <c r="C29" s="6">
        <f>(C12+C24)/($G$13+$G$25)</f>
        <v>1.0384210526315789</v>
      </c>
      <c r="D29" s="6">
        <f t="shared" ref="D29:F29" si="17">(D12+D24)/($G$13+$G$25)</f>
        <v>1.0105263157894737</v>
      </c>
      <c r="E29" s="6">
        <f>(E12+E24)/($G$13+$G$25)</f>
        <v>0.84473684210526312</v>
      </c>
      <c r="F29" s="6">
        <f t="shared" si="17"/>
        <v>0.86315789473684212</v>
      </c>
      <c r="L29" t="s">
        <v>145</v>
      </c>
      <c r="M29" s="12">
        <f>R28*0.76</f>
        <v>836</v>
      </c>
      <c r="N29" s="122">
        <f>R28*1.02/0.95</f>
        <v>1181.0526315789475</v>
      </c>
      <c r="O29" s="122">
        <f>R28*0.92/0.95</f>
        <v>1065.2631578947369</v>
      </c>
      <c r="P29" s="12">
        <f>R28*0.96</f>
        <v>1056</v>
      </c>
      <c r="Q29" s="12">
        <f>R28*1.01</f>
        <v>1111</v>
      </c>
    </row>
    <row r="30" spans="1:18" x14ac:dyDescent="0.25">
      <c r="A30" t="s">
        <v>112</v>
      </c>
      <c r="B30">
        <v>2</v>
      </c>
      <c r="C30">
        <v>6</v>
      </c>
      <c r="D30">
        <v>6</v>
      </c>
      <c r="E30">
        <v>4</v>
      </c>
      <c r="F30">
        <v>4</v>
      </c>
      <c r="L30" t="s">
        <v>146</v>
      </c>
      <c r="M30" s="12">
        <f>R28*0.94</f>
        <v>1034</v>
      </c>
      <c r="N30" s="12">
        <f>R28*5.96</f>
        <v>6556</v>
      </c>
      <c r="O30" s="12">
        <f>R28*1.67</f>
        <v>1837</v>
      </c>
      <c r="P30" s="12">
        <f>R28*3</f>
        <v>3300</v>
      </c>
      <c r="Q30" s="12">
        <f>R28*1.82</f>
        <v>2002</v>
      </c>
    </row>
    <row r="31" spans="1:18" x14ac:dyDescent="0.25">
      <c r="A31" t="s">
        <v>13</v>
      </c>
      <c r="B31">
        <v>5</v>
      </c>
      <c r="C31">
        <v>1</v>
      </c>
      <c r="D31">
        <v>2</v>
      </c>
      <c r="E31">
        <v>4</v>
      </c>
      <c r="F31">
        <v>3</v>
      </c>
      <c r="L31" t="s">
        <v>147</v>
      </c>
      <c r="M31" s="12">
        <f>R28*0.86</f>
        <v>946</v>
      </c>
      <c r="N31" s="12">
        <f>R28*1.98</f>
        <v>2178</v>
      </c>
      <c r="O31" s="12">
        <f>R28*1.35</f>
        <v>1485</v>
      </c>
      <c r="P31" s="12">
        <f>R28*1.7</f>
        <v>1870</v>
      </c>
      <c r="Q31" s="12">
        <f>R28*1.61</f>
        <v>1771</v>
      </c>
    </row>
    <row r="32" spans="1:18" x14ac:dyDescent="0.25">
      <c r="H32" t="s">
        <v>15</v>
      </c>
    </row>
    <row r="34" spans="2:12" x14ac:dyDescent="0.25">
      <c r="L34" t="s">
        <v>15</v>
      </c>
    </row>
    <row r="35" spans="2:12" x14ac:dyDescent="0.25">
      <c r="B35" s="72" t="s">
        <v>140</v>
      </c>
      <c r="C35" s="17" t="s">
        <v>163</v>
      </c>
    </row>
    <row r="36" spans="2:12" x14ac:dyDescent="0.25">
      <c r="B36" s="75">
        <v>1</v>
      </c>
      <c r="C36" s="73" t="s">
        <v>89</v>
      </c>
      <c r="E36" s="62">
        <f>D20/0.95</f>
        <v>1121329.6398891967</v>
      </c>
    </row>
    <row r="37" spans="2:12" x14ac:dyDescent="0.25">
      <c r="B37" s="75">
        <v>2</v>
      </c>
      <c r="C37" s="73" t="s">
        <v>90</v>
      </c>
    </row>
    <row r="38" spans="2:12" x14ac:dyDescent="0.25">
      <c r="B38" s="75">
        <v>3</v>
      </c>
      <c r="C38" s="73" t="s">
        <v>91</v>
      </c>
    </row>
    <row r="39" spans="2:12" x14ac:dyDescent="0.25">
      <c r="B39" s="75">
        <v>4</v>
      </c>
      <c r="C39" s="73" t="s">
        <v>92</v>
      </c>
    </row>
    <row r="40" spans="2:12" x14ac:dyDescent="0.25">
      <c r="B40" s="75">
        <v>5</v>
      </c>
      <c r="C40" s="73" t="s">
        <v>139</v>
      </c>
    </row>
    <row r="41" spans="2:12" x14ac:dyDescent="0.25">
      <c r="B41" s="75">
        <v>6</v>
      </c>
      <c r="C41" s="73" t="s">
        <v>138</v>
      </c>
    </row>
    <row r="42" spans="2:12" x14ac:dyDescent="0.25">
      <c r="B42" s="76">
        <v>7</v>
      </c>
      <c r="C42" s="74" t="s">
        <v>137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42"/>
  <sheetViews>
    <sheetView zoomScale="70" zoomScaleNormal="70" workbookViewId="0">
      <selection activeCell="C21" sqref="C21"/>
    </sheetView>
  </sheetViews>
  <sheetFormatPr baseColWidth="10" defaultColWidth="10.85546875" defaultRowHeight="15" x14ac:dyDescent="0.25"/>
  <cols>
    <col min="1" max="1" width="27.7109375" customWidth="1"/>
    <col min="2" max="2" width="12" customWidth="1"/>
    <col min="3" max="3" width="15.42578125" bestFit="1" customWidth="1"/>
    <col min="4" max="4" width="11.7109375" customWidth="1"/>
    <col min="5" max="5" width="13.5703125" customWidth="1"/>
    <col min="6" max="6" width="12" customWidth="1"/>
    <col min="9" max="9" width="14" customWidth="1"/>
  </cols>
  <sheetData>
    <row r="2" spans="1:12" ht="18.75" x14ac:dyDescent="0.3">
      <c r="A2" s="79" t="s">
        <v>9</v>
      </c>
    </row>
    <row r="4" spans="1:12" x14ac:dyDescent="0.25">
      <c r="A4" s="9">
        <v>2040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spans="1:12" x14ac:dyDescent="0.25">
      <c r="A5" t="s">
        <v>54</v>
      </c>
      <c r="B5" s="24">
        <v>600000</v>
      </c>
      <c r="C5" s="24">
        <v>800000</v>
      </c>
    </row>
    <row r="6" spans="1:12" x14ac:dyDescent="0.25">
      <c r="A6" s="1" t="s">
        <v>56</v>
      </c>
    </row>
    <row r="7" spans="1:12" x14ac:dyDescent="0.25">
      <c r="A7" s="4" t="s">
        <v>57</v>
      </c>
      <c r="B7">
        <v>173</v>
      </c>
      <c r="C7">
        <v>166</v>
      </c>
      <c r="D7">
        <v>171</v>
      </c>
      <c r="E7">
        <v>170</v>
      </c>
      <c r="F7">
        <v>171</v>
      </c>
    </row>
    <row r="8" spans="1:12" x14ac:dyDescent="0.25">
      <c r="A8" s="4" t="s">
        <v>58</v>
      </c>
      <c r="B8">
        <v>81</v>
      </c>
      <c r="C8">
        <v>82</v>
      </c>
      <c r="D8">
        <v>75</v>
      </c>
      <c r="E8">
        <v>77</v>
      </c>
      <c r="F8">
        <v>82</v>
      </c>
    </row>
    <row r="9" spans="1:12" x14ac:dyDescent="0.25">
      <c r="A9" s="4" t="s">
        <v>59</v>
      </c>
      <c r="B9">
        <v>140</v>
      </c>
      <c r="C9">
        <v>125</v>
      </c>
      <c r="D9">
        <v>125</v>
      </c>
      <c r="E9">
        <v>127</v>
      </c>
      <c r="F9">
        <v>138</v>
      </c>
    </row>
    <row r="10" spans="1:12" x14ac:dyDescent="0.25">
      <c r="A10" s="4" t="s">
        <v>60</v>
      </c>
      <c r="B10">
        <v>13</v>
      </c>
      <c r="C10">
        <v>10</v>
      </c>
      <c r="D10">
        <v>10</v>
      </c>
      <c r="E10">
        <v>11</v>
      </c>
      <c r="F10">
        <v>10</v>
      </c>
      <c r="L10" t="s">
        <v>15</v>
      </c>
    </row>
    <row r="11" spans="1:12" x14ac:dyDescent="0.25">
      <c r="A11" s="4" t="s">
        <v>16</v>
      </c>
      <c r="B11">
        <v>408</v>
      </c>
      <c r="C11">
        <f>SUM(C7:C10)</f>
        <v>383</v>
      </c>
      <c r="D11">
        <f>SUM(D7:D10)</f>
        <v>381</v>
      </c>
      <c r="E11">
        <f>SUM(E7:E10)</f>
        <v>385</v>
      </c>
      <c r="F11">
        <f>SUM(F7:F10)</f>
        <v>401</v>
      </c>
    </row>
    <row r="12" spans="1:12" x14ac:dyDescent="0.25">
      <c r="A12" s="9" t="s">
        <v>61</v>
      </c>
      <c r="B12" s="88"/>
      <c r="C12" s="6">
        <f>($B$11-C11)/$B$11</f>
        <v>6.1274509803921566E-2</v>
      </c>
      <c r="D12" s="6">
        <f>($B$11-D11)/$B$11</f>
        <v>6.6176470588235295E-2</v>
      </c>
      <c r="E12" s="6">
        <f>($B$11-E11)/$B$11</f>
        <v>5.6372549019607844E-2</v>
      </c>
      <c r="F12" s="6">
        <f>($B$11-F11)/$B$11</f>
        <v>1.7156862745098041E-2</v>
      </c>
    </row>
    <row r="13" spans="1:12" x14ac:dyDescent="0.25">
      <c r="A13" s="4"/>
    </row>
    <row r="14" spans="1:12" ht="30" x14ac:dyDescent="0.25">
      <c r="A14" s="25" t="s">
        <v>62</v>
      </c>
      <c r="B14" s="6">
        <v>0.1</v>
      </c>
      <c r="C14" s="6">
        <v>0.1</v>
      </c>
      <c r="D14" s="6">
        <v>0.1</v>
      </c>
      <c r="E14" s="6">
        <v>0.1</v>
      </c>
      <c r="F14" s="6">
        <v>0.1</v>
      </c>
      <c r="G14" t="s">
        <v>70</v>
      </c>
    </row>
    <row r="15" spans="1:12" ht="30" x14ac:dyDescent="0.25">
      <c r="A15" s="26" t="s">
        <v>63</v>
      </c>
      <c r="B15" s="27">
        <f>B12+B14</f>
        <v>0.1</v>
      </c>
      <c r="C15" s="27">
        <f t="shared" ref="C15:F15" si="0">C12+C14</f>
        <v>0.16127450980392158</v>
      </c>
      <c r="D15" s="27">
        <f t="shared" si="0"/>
        <v>0.16617647058823531</v>
      </c>
      <c r="E15" s="27">
        <f t="shared" si="0"/>
        <v>0.15637254901960784</v>
      </c>
      <c r="F15" s="27">
        <f t="shared" si="0"/>
        <v>0.11715686274509804</v>
      </c>
    </row>
    <row r="16" spans="1:12" x14ac:dyDescent="0.25">
      <c r="A16" s="4"/>
    </row>
    <row r="18" spans="1:15" x14ac:dyDescent="0.25">
      <c r="A18" s="9">
        <v>2060</v>
      </c>
      <c r="B18" s="5" t="s">
        <v>3</v>
      </c>
      <c r="C18" s="5" t="s">
        <v>4</v>
      </c>
      <c r="D18" s="5" t="s">
        <v>5</v>
      </c>
      <c r="E18" s="5" t="s">
        <v>6</v>
      </c>
      <c r="F18" s="5" t="s">
        <v>7</v>
      </c>
      <c r="M18" t="s">
        <v>15</v>
      </c>
    </row>
    <row r="19" spans="1:15" x14ac:dyDescent="0.25">
      <c r="A19" t="s">
        <v>55</v>
      </c>
      <c r="B19" s="24">
        <v>650000</v>
      </c>
      <c r="C19" s="24">
        <v>1100000</v>
      </c>
    </row>
    <row r="20" spans="1:15" x14ac:dyDescent="0.25">
      <c r="A20" s="1" t="s">
        <v>56</v>
      </c>
      <c r="L20" t="s">
        <v>15</v>
      </c>
    </row>
    <row r="21" spans="1:15" x14ac:dyDescent="0.25">
      <c r="A21" s="4" t="s">
        <v>57</v>
      </c>
      <c r="B21">
        <v>169</v>
      </c>
      <c r="C21">
        <v>160</v>
      </c>
      <c r="D21">
        <v>166</v>
      </c>
      <c r="E21">
        <v>164</v>
      </c>
      <c r="F21" s="29">
        <v>166.3</v>
      </c>
    </row>
    <row r="22" spans="1:15" x14ac:dyDescent="0.25">
      <c r="A22" s="4" t="s">
        <v>58</v>
      </c>
      <c r="B22">
        <v>78</v>
      </c>
      <c r="C22">
        <v>65</v>
      </c>
      <c r="D22">
        <v>62</v>
      </c>
      <c r="E22">
        <v>68</v>
      </c>
      <c r="F22" s="29">
        <v>73.3</v>
      </c>
    </row>
    <row r="23" spans="1:15" x14ac:dyDescent="0.25">
      <c r="A23" s="4" t="s">
        <v>59</v>
      </c>
      <c r="B23">
        <v>133</v>
      </c>
      <c r="C23">
        <v>118</v>
      </c>
      <c r="D23">
        <v>119</v>
      </c>
      <c r="E23">
        <v>120</v>
      </c>
      <c r="F23" s="29">
        <v>130</v>
      </c>
    </row>
    <row r="24" spans="1:15" x14ac:dyDescent="0.25">
      <c r="A24" s="4" t="s">
        <v>60</v>
      </c>
      <c r="B24">
        <v>12</v>
      </c>
      <c r="C24">
        <v>7</v>
      </c>
      <c r="D24">
        <v>7</v>
      </c>
      <c r="E24">
        <v>9</v>
      </c>
      <c r="F24" s="29">
        <v>9</v>
      </c>
      <c r="L24" t="s">
        <v>15</v>
      </c>
    </row>
    <row r="25" spans="1:15" x14ac:dyDescent="0.25">
      <c r="A25" s="4" t="s">
        <v>16</v>
      </c>
      <c r="B25">
        <f>SUM(B21:B24)</f>
        <v>392</v>
      </c>
      <c r="C25">
        <f>SUM(C21:C24)</f>
        <v>350</v>
      </c>
      <c r="D25">
        <f>SUM(D21:D24)</f>
        <v>354</v>
      </c>
      <c r="E25">
        <f>SUM(E21:E24)</f>
        <v>361</v>
      </c>
      <c r="F25" s="29">
        <f>SUM(F21:F24)</f>
        <v>378.6</v>
      </c>
    </row>
    <row r="26" spans="1:15" x14ac:dyDescent="0.25">
      <c r="A26" s="9" t="s">
        <v>61</v>
      </c>
      <c r="B26" s="88"/>
      <c r="C26" s="6">
        <f>($B$25-C25)/$B$25</f>
        <v>0.10714285714285714</v>
      </c>
      <c r="D26" s="28">
        <f>($B$25-D25)/$B$25</f>
        <v>9.6938775510204078E-2</v>
      </c>
      <c r="E26" s="28">
        <f>($B$25-E25)/$B$25</f>
        <v>7.9081632653061229E-2</v>
      </c>
      <c r="F26" s="28">
        <f>($B$25-F25)/$B$25</f>
        <v>3.41836734693877E-2</v>
      </c>
      <c r="O26" t="s">
        <v>15</v>
      </c>
    </row>
    <row r="28" spans="1:15" ht="30" x14ac:dyDescent="0.25">
      <c r="A28" s="25" t="s">
        <v>62</v>
      </c>
      <c r="B28" s="6">
        <v>0.1</v>
      </c>
      <c r="C28" s="6">
        <v>0.1</v>
      </c>
      <c r="D28" s="6">
        <v>0.1</v>
      </c>
      <c r="E28" s="6">
        <v>0.1</v>
      </c>
      <c r="F28" s="6">
        <v>0.1</v>
      </c>
      <c r="G28" t="s">
        <v>70</v>
      </c>
    </row>
    <row r="29" spans="1:15" ht="30" x14ac:dyDescent="0.25">
      <c r="A29" s="26" t="s">
        <v>63</v>
      </c>
      <c r="B29" s="27">
        <f>B26+B28</f>
        <v>0.1</v>
      </c>
      <c r="C29" s="27">
        <f>C26+C28</f>
        <v>0.20714285714285713</v>
      </c>
      <c r="D29" s="27">
        <f t="shared" ref="D29" si="1">D26+D28</f>
        <v>0.19693877551020408</v>
      </c>
      <c r="E29" s="27">
        <f>E26+E28</f>
        <v>0.17908163265306123</v>
      </c>
      <c r="F29" s="27">
        <f>F26+F28</f>
        <v>0.1341836734693877</v>
      </c>
    </row>
    <row r="31" spans="1:15" x14ac:dyDescent="0.25">
      <c r="A31" s="1" t="s">
        <v>64</v>
      </c>
    </row>
    <row r="32" spans="1:15" x14ac:dyDescent="0.25">
      <c r="A32" s="1" t="s">
        <v>65</v>
      </c>
      <c r="B32">
        <f>B11+B25</f>
        <v>800</v>
      </c>
      <c r="C32">
        <f>C11+C25</f>
        <v>733</v>
      </c>
      <c r="D32">
        <f t="shared" ref="D32:F32" si="2">D11+D25</f>
        <v>735</v>
      </c>
      <c r="E32">
        <f t="shared" si="2"/>
        <v>746</v>
      </c>
      <c r="F32">
        <f t="shared" si="2"/>
        <v>779.6</v>
      </c>
    </row>
    <row r="33" spans="1:9" x14ac:dyDescent="0.25">
      <c r="A33" t="s">
        <v>66</v>
      </c>
      <c r="B33" s="88"/>
      <c r="C33" s="6">
        <f>($B$32-C32)/$B$32</f>
        <v>8.3750000000000005E-2</v>
      </c>
      <c r="D33" s="6">
        <f t="shared" ref="D33:F33" si="3">($B$32-D32)/$B$32</f>
        <v>8.1250000000000003E-2</v>
      </c>
      <c r="E33" s="6">
        <f t="shared" si="3"/>
        <v>6.7500000000000004E-2</v>
      </c>
      <c r="F33" s="6">
        <f t="shared" si="3"/>
        <v>2.5499999999999971E-2</v>
      </c>
    </row>
    <row r="34" spans="1:9" ht="30" x14ac:dyDescent="0.25">
      <c r="A34" s="50" t="s">
        <v>67</v>
      </c>
      <c r="B34" s="51">
        <f>B33+B14</f>
        <v>0.1</v>
      </c>
      <c r="C34" s="51">
        <f t="shared" ref="C34:F34" si="4">C33+C14</f>
        <v>0.18375000000000002</v>
      </c>
      <c r="D34" s="51">
        <f t="shared" si="4"/>
        <v>0.18125000000000002</v>
      </c>
      <c r="E34" s="51">
        <f t="shared" si="4"/>
        <v>0.16750000000000001</v>
      </c>
      <c r="F34" s="52">
        <f t="shared" si="4"/>
        <v>0.12549999999999997</v>
      </c>
    </row>
    <row r="35" spans="1:9" x14ac:dyDescent="0.25">
      <c r="A35" s="42" t="s">
        <v>112</v>
      </c>
      <c r="B35" s="34">
        <v>4</v>
      </c>
      <c r="C35" s="34">
        <v>5</v>
      </c>
      <c r="D35" s="34">
        <v>5</v>
      </c>
      <c r="E35" s="34">
        <v>5</v>
      </c>
      <c r="F35" s="35">
        <v>4</v>
      </c>
      <c r="H35" s="80" t="s">
        <v>0</v>
      </c>
      <c r="I35" s="17" t="s">
        <v>164</v>
      </c>
    </row>
    <row r="36" spans="1:9" x14ac:dyDescent="0.25">
      <c r="A36" s="45" t="s">
        <v>13</v>
      </c>
      <c r="B36" s="37">
        <v>5</v>
      </c>
      <c r="C36" s="37">
        <v>1</v>
      </c>
      <c r="D36" s="37">
        <v>2</v>
      </c>
      <c r="E36" s="37">
        <v>3</v>
      </c>
      <c r="F36" s="38">
        <v>4</v>
      </c>
      <c r="H36" s="75">
        <v>1</v>
      </c>
      <c r="I36" s="73" t="s">
        <v>69</v>
      </c>
    </row>
    <row r="37" spans="1:9" x14ac:dyDescent="0.25">
      <c r="H37" s="75">
        <v>2</v>
      </c>
      <c r="I37" s="73" t="s">
        <v>96</v>
      </c>
    </row>
    <row r="38" spans="1:9" x14ac:dyDescent="0.25">
      <c r="H38" s="75">
        <v>3</v>
      </c>
      <c r="I38" s="73" t="s">
        <v>97</v>
      </c>
    </row>
    <row r="39" spans="1:9" x14ac:dyDescent="0.25">
      <c r="H39" s="75">
        <v>4</v>
      </c>
      <c r="I39" s="81" t="s">
        <v>98</v>
      </c>
    </row>
    <row r="40" spans="1:9" x14ac:dyDescent="0.25">
      <c r="H40" s="75">
        <v>5</v>
      </c>
      <c r="I40" s="73" t="s">
        <v>99</v>
      </c>
    </row>
    <row r="41" spans="1:9" x14ac:dyDescent="0.25">
      <c r="H41" s="75">
        <v>6</v>
      </c>
      <c r="I41" s="73" t="s">
        <v>100</v>
      </c>
    </row>
    <row r="42" spans="1:9" x14ac:dyDescent="0.25">
      <c r="H42" s="76">
        <v>7</v>
      </c>
      <c r="I42" s="74" t="s">
        <v>68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17"/>
  <sheetViews>
    <sheetView workbookViewId="0">
      <selection activeCell="E17" sqref="E17"/>
    </sheetView>
  </sheetViews>
  <sheetFormatPr baseColWidth="10" defaultColWidth="10.85546875" defaultRowHeight="15" x14ac:dyDescent="0.25"/>
  <cols>
    <col min="1" max="1" width="26.42578125" customWidth="1"/>
    <col min="5" max="5" width="12.28515625" customWidth="1"/>
    <col min="11" max="11" width="14.85546875" bestFit="1" customWidth="1"/>
    <col min="12" max="12" width="16.140625" bestFit="1" customWidth="1"/>
    <col min="15" max="15" width="16" customWidth="1"/>
  </cols>
  <sheetData>
    <row r="2" spans="1:15" ht="15.75" x14ac:dyDescent="0.25">
      <c r="A2" s="46" t="s">
        <v>94</v>
      </c>
    </row>
    <row r="3" spans="1:15" x14ac:dyDescent="0.25">
      <c r="A3" s="1" t="s">
        <v>25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71" t="s">
        <v>46</v>
      </c>
      <c r="I3" s="71" t="s">
        <v>50</v>
      </c>
      <c r="J3" s="71" t="s">
        <v>51</v>
      </c>
      <c r="K3" s="71" t="s">
        <v>52</v>
      </c>
      <c r="L3" s="71" t="s">
        <v>53</v>
      </c>
    </row>
    <row r="4" spans="1:15" x14ac:dyDescent="0.25">
      <c r="I4">
        <v>1</v>
      </c>
      <c r="J4">
        <v>5</v>
      </c>
      <c r="N4" s="80" t="s">
        <v>165</v>
      </c>
      <c r="O4" s="17" t="s">
        <v>95</v>
      </c>
    </row>
    <row r="5" spans="1:15" x14ac:dyDescent="0.25">
      <c r="A5" t="s">
        <v>39</v>
      </c>
      <c r="B5">
        <v>12</v>
      </c>
      <c r="C5">
        <v>6</v>
      </c>
      <c r="D5">
        <v>6</v>
      </c>
      <c r="E5">
        <v>9</v>
      </c>
      <c r="F5">
        <v>9</v>
      </c>
      <c r="H5">
        <v>3</v>
      </c>
      <c r="I5">
        <v>1</v>
      </c>
      <c r="J5">
        <v>5</v>
      </c>
      <c r="K5">
        <f>H5*I5</f>
        <v>3</v>
      </c>
      <c r="L5">
        <f>H5*J5</f>
        <v>15</v>
      </c>
      <c r="N5" s="18">
        <v>7</v>
      </c>
      <c r="O5" s="73" t="s">
        <v>87</v>
      </c>
    </row>
    <row r="6" spans="1:15" x14ac:dyDescent="0.25">
      <c r="A6" t="s">
        <v>40</v>
      </c>
      <c r="B6">
        <v>6</v>
      </c>
      <c r="C6">
        <v>6</v>
      </c>
      <c r="D6">
        <v>6</v>
      </c>
      <c r="E6">
        <v>6</v>
      </c>
      <c r="F6">
        <v>6</v>
      </c>
      <c r="H6">
        <v>3</v>
      </c>
      <c r="I6">
        <v>1</v>
      </c>
      <c r="J6">
        <v>5</v>
      </c>
      <c r="K6">
        <f t="shared" ref="K6:K14" si="0">H6*I6</f>
        <v>3</v>
      </c>
      <c r="L6">
        <f t="shared" ref="L6:L14" si="1">H6*J6</f>
        <v>15</v>
      </c>
      <c r="N6" s="18">
        <v>6</v>
      </c>
      <c r="O6" s="73" t="s">
        <v>88</v>
      </c>
    </row>
    <row r="7" spans="1:15" x14ac:dyDescent="0.25">
      <c r="A7" t="s">
        <v>41</v>
      </c>
      <c r="B7">
        <v>6</v>
      </c>
      <c r="C7">
        <v>6</v>
      </c>
      <c r="D7">
        <v>6</v>
      </c>
      <c r="E7">
        <v>9</v>
      </c>
      <c r="F7">
        <v>9</v>
      </c>
      <c r="H7">
        <v>3</v>
      </c>
      <c r="I7">
        <v>1</v>
      </c>
      <c r="J7">
        <v>5</v>
      </c>
      <c r="K7">
        <f t="shared" si="0"/>
        <v>3</v>
      </c>
      <c r="L7">
        <f t="shared" si="1"/>
        <v>15</v>
      </c>
      <c r="N7" s="18">
        <v>5</v>
      </c>
      <c r="O7" s="73" t="s">
        <v>89</v>
      </c>
    </row>
    <row r="8" spans="1:15" x14ac:dyDescent="0.25">
      <c r="A8" t="s">
        <v>42</v>
      </c>
      <c r="B8">
        <v>15</v>
      </c>
      <c r="C8">
        <v>3</v>
      </c>
      <c r="D8">
        <v>6</v>
      </c>
      <c r="E8">
        <v>9</v>
      </c>
      <c r="F8">
        <v>12</v>
      </c>
      <c r="H8">
        <v>3</v>
      </c>
      <c r="I8">
        <v>1</v>
      </c>
      <c r="J8">
        <v>5</v>
      </c>
      <c r="K8">
        <f t="shared" si="0"/>
        <v>3</v>
      </c>
      <c r="L8">
        <f t="shared" si="1"/>
        <v>15</v>
      </c>
      <c r="N8" s="18">
        <v>4</v>
      </c>
      <c r="O8" s="73" t="s">
        <v>90</v>
      </c>
    </row>
    <row r="9" spans="1:15" x14ac:dyDescent="0.25">
      <c r="A9" t="s">
        <v>43</v>
      </c>
      <c r="B9">
        <v>9</v>
      </c>
      <c r="C9">
        <v>9</v>
      </c>
      <c r="D9">
        <v>9</v>
      </c>
      <c r="E9">
        <v>9</v>
      </c>
      <c r="F9">
        <v>9</v>
      </c>
      <c r="H9">
        <v>3</v>
      </c>
      <c r="I9">
        <v>1</v>
      </c>
      <c r="J9">
        <v>5</v>
      </c>
      <c r="K9">
        <f t="shared" si="0"/>
        <v>3</v>
      </c>
      <c r="L9">
        <f t="shared" si="1"/>
        <v>15</v>
      </c>
      <c r="N9" s="18">
        <v>3</v>
      </c>
      <c r="O9" s="73" t="s">
        <v>91</v>
      </c>
    </row>
    <row r="10" spans="1:15" x14ac:dyDescent="0.25">
      <c r="A10" t="s">
        <v>44</v>
      </c>
      <c r="B10">
        <v>6</v>
      </c>
      <c r="C10">
        <v>6</v>
      </c>
      <c r="D10">
        <v>6</v>
      </c>
      <c r="E10">
        <v>6</v>
      </c>
      <c r="F10">
        <v>6</v>
      </c>
      <c r="H10">
        <v>2</v>
      </c>
      <c r="I10">
        <v>1</v>
      </c>
      <c r="J10">
        <v>5</v>
      </c>
      <c r="K10">
        <f t="shared" si="0"/>
        <v>2</v>
      </c>
      <c r="L10">
        <f t="shared" si="1"/>
        <v>10</v>
      </c>
      <c r="N10" s="18">
        <v>2</v>
      </c>
      <c r="O10" s="73" t="s">
        <v>92</v>
      </c>
    </row>
    <row r="11" spans="1:15" x14ac:dyDescent="0.25">
      <c r="A11" t="s">
        <v>45</v>
      </c>
      <c r="B11">
        <v>3</v>
      </c>
      <c r="C11">
        <v>4</v>
      </c>
      <c r="D11">
        <v>3</v>
      </c>
      <c r="E11">
        <v>3</v>
      </c>
      <c r="F11">
        <v>3</v>
      </c>
      <c r="H11">
        <v>1</v>
      </c>
      <c r="I11">
        <v>1</v>
      </c>
      <c r="J11">
        <v>5</v>
      </c>
      <c r="K11">
        <f t="shared" si="0"/>
        <v>1</v>
      </c>
      <c r="L11">
        <f t="shared" si="1"/>
        <v>5</v>
      </c>
      <c r="N11" s="21">
        <v>1</v>
      </c>
      <c r="O11" s="74" t="s">
        <v>93</v>
      </c>
    </row>
    <row r="12" spans="1:15" x14ac:dyDescent="0.25">
      <c r="A12" t="s">
        <v>47</v>
      </c>
      <c r="B12">
        <v>6</v>
      </c>
      <c r="C12">
        <v>4</v>
      </c>
      <c r="D12">
        <v>4</v>
      </c>
      <c r="E12">
        <v>6</v>
      </c>
      <c r="F12">
        <v>6</v>
      </c>
      <c r="H12">
        <v>2</v>
      </c>
      <c r="I12">
        <v>1</v>
      </c>
      <c r="J12">
        <v>5</v>
      </c>
      <c r="K12">
        <f t="shared" si="0"/>
        <v>2</v>
      </c>
      <c r="L12">
        <f t="shared" si="1"/>
        <v>10</v>
      </c>
    </row>
    <row r="13" spans="1:15" x14ac:dyDescent="0.25">
      <c r="A13" t="s">
        <v>48</v>
      </c>
      <c r="B13">
        <v>6</v>
      </c>
      <c r="C13">
        <v>6</v>
      </c>
      <c r="D13">
        <v>6</v>
      </c>
      <c r="E13">
        <v>6</v>
      </c>
      <c r="F13">
        <v>6</v>
      </c>
      <c r="H13">
        <v>2</v>
      </c>
      <c r="I13">
        <v>1</v>
      </c>
      <c r="J13">
        <v>5</v>
      </c>
      <c r="K13">
        <f t="shared" si="0"/>
        <v>2</v>
      </c>
      <c r="L13">
        <f t="shared" si="1"/>
        <v>10</v>
      </c>
    </row>
    <row r="14" spans="1:15" x14ac:dyDescent="0.25">
      <c r="A14" t="s">
        <v>49</v>
      </c>
      <c r="B14">
        <v>6</v>
      </c>
      <c r="C14">
        <v>6</v>
      </c>
      <c r="D14">
        <v>6</v>
      </c>
      <c r="E14">
        <v>4</v>
      </c>
      <c r="F14">
        <v>4</v>
      </c>
      <c r="H14">
        <v>2</v>
      </c>
      <c r="I14">
        <v>1</v>
      </c>
      <c r="J14">
        <v>5</v>
      </c>
      <c r="K14">
        <f t="shared" si="0"/>
        <v>2</v>
      </c>
      <c r="L14">
        <f t="shared" si="1"/>
        <v>10</v>
      </c>
    </row>
    <row r="15" spans="1:15" x14ac:dyDescent="0.25">
      <c r="A15" s="1" t="s">
        <v>16</v>
      </c>
      <c r="B15" s="47">
        <f>SUM(B5:B14)</f>
        <v>75</v>
      </c>
      <c r="C15" s="48">
        <f t="shared" ref="C15:F15" si="2">SUM(C5:C14)</f>
        <v>56</v>
      </c>
      <c r="D15" s="48">
        <f t="shared" si="2"/>
        <v>58</v>
      </c>
      <c r="E15" s="48">
        <f t="shared" si="2"/>
        <v>67</v>
      </c>
      <c r="F15" s="49">
        <f t="shared" si="2"/>
        <v>70</v>
      </c>
      <c r="K15">
        <f>SUM(K5:K14)</f>
        <v>24</v>
      </c>
      <c r="L15">
        <f>SUM(L5:L14)</f>
        <v>120</v>
      </c>
      <c r="M15" s="64">
        <f>(L15-K15)/7</f>
        <v>13.714285714285714</v>
      </c>
    </row>
    <row r="16" spans="1:15" x14ac:dyDescent="0.25">
      <c r="A16" s="1" t="s">
        <v>71</v>
      </c>
      <c r="B16" s="33">
        <v>3</v>
      </c>
      <c r="C16" s="34">
        <v>5</v>
      </c>
      <c r="D16" s="34">
        <v>5</v>
      </c>
      <c r="E16" s="34">
        <v>4</v>
      </c>
      <c r="F16" s="35">
        <v>3</v>
      </c>
    </row>
    <row r="17" spans="1:6" x14ac:dyDescent="0.25">
      <c r="A17" s="1" t="s">
        <v>86</v>
      </c>
      <c r="B17" s="36">
        <v>5</v>
      </c>
      <c r="C17" s="37">
        <v>1</v>
      </c>
      <c r="D17" s="37">
        <v>2</v>
      </c>
      <c r="E17" s="37">
        <v>3</v>
      </c>
      <c r="F17" s="38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O66"/>
  <sheetViews>
    <sheetView topLeftCell="A34" zoomScale="70" zoomScaleNormal="70" workbookViewId="0">
      <selection activeCell="N56" sqref="N56"/>
    </sheetView>
  </sheetViews>
  <sheetFormatPr baseColWidth="10" defaultColWidth="9.140625" defaultRowHeight="15" x14ac:dyDescent="0.25"/>
  <cols>
    <col min="1" max="1" width="4.140625" customWidth="1"/>
    <col min="3" max="3" width="14.5703125" customWidth="1"/>
    <col min="4" max="4" width="40.7109375" customWidth="1"/>
    <col min="5" max="5" width="18.28515625" customWidth="1"/>
    <col min="6" max="6" width="3.5703125" customWidth="1"/>
    <col min="8" max="8" width="10" customWidth="1"/>
    <col min="9" max="9" width="43" customWidth="1"/>
    <col min="11" max="11" width="10.5703125" customWidth="1"/>
    <col min="12" max="12" width="12.140625" customWidth="1"/>
    <col min="13" max="13" width="9.5703125" customWidth="1"/>
    <col min="14" max="14" width="13.7109375" customWidth="1"/>
    <col min="15" max="15" width="10.85546875" customWidth="1"/>
  </cols>
  <sheetData>
    <row r="3" spans="2:9" x14ac:dyDescent="0.25">
      <c r="B3" s="132" t="s">
        <v>4</v>
      </c>
      <c r="C3" s="132"/>
      <c r="D3" s="8"/>
      <c r="E3" s="8"/>
      <c r="G3" s="132" t="s">
        <v>6</v>
      </c>
      <c r="H3" s="132"/>
    </row>
    <row r="4" spans="2:9" s="1" customFormat="1" x14ac:dyDescent="0.25">
      <c r="B4" s="1" t="s">
        <v>26</v>
      </c>
      <c r="C4" s="9" t="s">
        <v>28</v>
      </c>
      <c r="D4" s="9" t="s">
        <v>1</v>
      </c>
      <c r="E4" s="11" t="s">
        <v>82</v>
      </c>
      <c r="G4" s="1" t="s">
        <v>26</v>
      </c>
      <c r="H4" s="9" t="s">
        <v>28</v>
      </c>
      <c r="I4" s="1" t="s">
        <v>1</v>
      </c>
    </row>
    <row r="5" spans="2:9" x14ac:dyDescent="0.25">
      <c r="B5">
        <v>1</v>
      </c>
      <c r="D5" t="s">
        <v>27</v>
      </c>
      <c r="G5">
        <v>1</v>
      </c>
      <c r="I5" t="s">
        <v>27</v>
      </c>
    </row>
    <row r="6" spans="2:9" x14ac:dyDescent="0.25">
      <c r="B6">
        <v>2</v>
      </c>
      <c r="D6" t="s">
        <v>27</v>
      </c>
      <c r="G6">
        <v>2</v>
      </c>
      <c r="I6" t="s">
        <v>27</v>
      </c>
    </row>
    <row r="7" spans="2:9" x14ac:dyDescent="0.25">
      <c r="B7">
        <v>3</v>
      </c>
      <c r="D7" t="s">
        <v>27</v>
      </c>
      <c r="G7">
        <v>3</v>
      </c>
      <c r="I7" t="s">
        <v>27</v>
      </c>
    </row>
    <row r="8" spans="2:9" x14ac:dyDescent="0.25">
      <c r="B8">
        <v>4</v>
      </c>
      <c r="C8">
        <v>4</v>
      </c>
      <c r="E8">
        <f>C8</f>
        <v>4</v>
      </c>
      <c r="G8">
        <v>4</v>
      </c>
      <c r="H8">
        <v>4</v>
      </c>
    </row>
    <row r="9" spans="2:9" x14ac:dyDescent="0.25">
      <c r="B9">
        <v>5</v>
      </c>
      <c r="C9">
        <v>4</v>
      </c>
      <c r="E9">
        <f t="shared" ref="E9:E37" si="0">C9</f>
        <v>4</v>
      </c>
      <c r="G9">
        <v>5</v>
      </c>
      <c r="H9">
        <v>4</v>
      </c>
    </row>
    <row r="10" spans="2:9" x14ac:dyDescent="0.25">
      <c r="B10">
        <v>6</v>
      </c>
      <c r="C10">
        <v>4</v>
      </c>
      <c r="E10">
        <f t="shared" si="0"/>
        <v>4</v>
      </c>
      <c r="G10">
        <v>6</v>
      </c>
      <c r="H10">
        <v>4</v>
      </c>
    </row>
    <row r="11" spans="2:9" x14ac:dyDescent="0.25">
      <c r="B11">
        <v>7</v>
      </c>
      <c r="C11">
        <v>4</v>
      </c>
      <c r="E11">
        <f t="shared" si="0"/>
        <v>4</v>
      </c>
      <c r="G11">
        <v>7</v>
      </c>
      <c r="H11">
        <v>3</v>
      </c>
    </row>
    <row r="12" spans="2:9" x14ac:dyDescent="0.25">
      <c r="B12">
        <v>8</v>
      </c>
      <c r="C12">
        <v>4</v>
      </c>
      <c r="E12">
        <f t="shared" si="0"/>
        <v>4</v>
      </c>
      <c r="G12">
        <v>8</v>
      </c>
      <c r="H12">
        <v>3</v>
      </c>
    </row>
    <row r="13" spans="2:9" x14ac:dyDescent="0.25">
      <c r="B13">
        <v>9</v>
      </c>
      <c r="C13">
        <v>4</v>
      </c>
      <c r="E13">
        <f t="shared" si="0"/>
        <v>4</v>
      </c>
      <c r="G13">
        <v>9</v>
      </c>
      <c r="H13">
        <v>1</v>
      </c>
    </row>
    <row r="14" spans="2:9" x14ac:dyDescent="0.25">
      <c r="B14">
        <v>10</v>
      </c>
      <c r="C14">
        <v>3</v>
      </c>
      <c r="E14">
        <f t="shared" si="0"/>
        <v>3</v>
      </c>
      <c r="G14">
        <v>10</v>
      </c>
      <c r="H14">
        <v>2</v>
      </c>
    </row>
    <row r="15" spans="2:9" x14ac:dyDescent="0.25">
      <c r="B15">
        <v>11</v>
      </c>
      <c r="C15">
        <v>3</v>
      </c>
      <c r="E15">
        <f t="shared" si="0"/>
        <v>3</v>
      </c>
      <c r="G15">
        <v>11</v>
      </c>
      <c r="H15">
        <v>1</v>
      </c>
    </row>
    <row r="16" spans="2:9" x14ac:dyDescent="0.25">
      <c r="B16">
        <v>12</v>
      </c>
      <c r="C16">
        <v>3</v>
      </c>
      <c r="E16">
        <f t="shared" si="0"/>
        <v>3</v>
      </c>
      <c r="G16">
        <v>12</v>
      </c>
      <c r="H16">
        <v>3</v>
      </c>
    </row>
    <row r="17" spans="2:9" x14ac:dyDescent="0.25">
      <c r="B17">
        <v>13</v>
      </c>
      <c r="C17">
        <v>3</v>
      </c>
      <c r="E17">
        <f t="shared" si="0"/>
        <v>3</v>
      </c>
      <c r="G17">
        <v>13</v>
      </c>
      <c r="H17">
        <v>3</v>
      </c>
    </row>
    <row r="18" spans="2:9" x14ac:dyDescent="0.25">
      <c r="B18">
        <v>14</v>
      </c>
      <c r="C18">
        <v>3</v>
      </c>
      <c r="E18">
        <f t="shared" si="0"/>
        <v>3</v>
      </c>
      <c r="G18">
        <v>14</v>
      </c>
      <c r="H18">
        <v>3</v>
      </c>
    </row>
    <row r="19" spans="2:9" x14ac:dyDescent="0.25">
      <c r="B19">
        <v>15</v>
      </c>
      <c r="C19">
        <v>3</v>
      </c>
      <c r="E19">
        <f t="shared" si="0"/>
        <v>3</v>
      </c>
      <c r="G19">
        <v>15</v>
      </c>
      <c r="H19">
        <v>2</v>
      </c>
    </row>
    <row r="20" spans="2:9" x14ac:dyDescent="0.25">
      <c r="B20">
        <v>16</v>
      </c>
      <c r="C20">
        <v>3</v>
      </c>
      <c r="E20">
        <f t="shared" si="0"/>
        <v>3</v>
      </c>
      <c r="G20">
        <v>16</v>
      </c>
      <c r="H20">
        <v>2</v>
      </c>
    </row>
    <row r="21" spans="2:9" x14ac:dyDescent="0.25">
      <c r="B21">
        <v>17</v>
      </c>
      <c r="C21">
        <v>3</v>
      </c>
      <c r="E21">
        <f t="shared" si="0"/>
        <v>3</v>
      </c>
      <c r="G21">
        <v>17</v>
      </c>
      <c r="H21">
        <v>2</v>
      </c>
    </row>
    <row r="22" spans="2:9" x14ac:dyDescent="0.25">
      <c r="B22">
        <v>18</v>
      </c>
      <c r="C22">
        <v>2</v>
      </c>
      <c r="E22">
        <f t="shared" si="0"/>
        <v>2</v>
      </c>
      <c r="G22">
        <v>18</v>
      </c>
      <c r="H22">
        <v>2</v>
      </c>
    </row>
    <row r="23" spans="2:9" x14ac:dyDescent="0.25">
      <c r="B23">
        <v>19</v>
      </c>
      <c r="C23">
        <v>3</v>
      </c>
      <c r="E23">
        <f t="shared" si="0"/>
        <v>3</v>
      </c>
      <c r="G23">
        <v>19</v>
      </c>
      <c r="H23">
        <v>3</v>
      </c>
    </row>
    <row r="24" spans="2:9" x14ac:dyDescent="0.25">
      <c r="B24">
        <v>20</v>
      </c>
      <c r="C24">
        <v>4</v>
      </c>
      <c r="E24">
        <f t="shared" si="0"/>
        <v>4</v>
      </c>
      <c r="G24">
        <v>20</v>
      </c>
      <c r="H24">
        <v>3</v>
      </c>
    </row>
    <row r="25" spans="2:9" x14ac:dyDescent="0.25">
      <c r="B25">
        <v>21</v>
      </c>
      <c r="C25">
        <v>4</v>
      </c>
      <c r="E25">
        <f t="shared" si="0"/>
        <v>4</v>
      </c>
      <c r="G25">
        <v>21</v>
      </c>
      <c r="H25">
        <v>3</v>
      </c>
    </row>
    <row r="26" spans="2:9" x14ac:dyDescent="0.25">
      <c r="B26">
        <v>22</v>
      </c>
      <c r="C26">
        <v>2.5</v>
      </c>
      <c r="E26">
        <f t="shared" si="0"/>
        <v>2.5</v>
      </c>
      <c r="G26">
        <v>22</v>
      </c>
      <c r="H26">
        <v>3</v>
      </c>
    </row>
    <row r="27" spans="2:9" x14ac:dyDescent="0.25">
      <c r="B27">
        <v>23</v>
      </c>
      <c r="C27">
        <v>2.5</v>
      </c>
      <c r="E27">
        <f t="shared" si="0"/>
        <v>2.5</v>
      </c>
      <c r="G27">
        <v>23</v>
      </c>
      <c r="I27" t="s">
        <v>77</v>
      </c>
    </row>
    <row r="28" spans="2:9" x14ac:dyDescent="0.25">
      <c r="B28">
        <v>24</v>
      </c>
      <c r="D28" t="s">
        <v>74</v>
      </c>
      <c r="G28">
        <v>24</v>
      </c>
      <c r="H28">
        <v>3</v>
      </c>
    </row>
    <row r="29" spans="2:9" x14ac:dyDescent="0.25">
      <c r="B29">
        <v>25</v>
      </c>
      <c r="C29">
        <v>4</v>
      </c>
      <c r="E29">
        <f t="shared" si="0"/>
        <v>4</v>
      </c>
      <c r="G29">
        <v>25</v>
      </c>
      <c r="H29">
        <v>3</v>
      </c>
    </row>
    <row r="30" spans="2:9" x14ac:dyDescent="0.25">
      <c r="B30">
        <v>26</v>
      </c>
      <c r="C30">
        <v>4</v>
      </c>
      <c r="E30">
        <f t="shared" si="0"/>
        <v>4</v>
      </c>
      <c r="G30">
        <v>26</v>
      </c>
      <c r="H30">
        <v>4</v>
      </c>
    </row>
    <row r="31" spans="2:9" x14ac:dyDescent="0.25">
      <c r="B31">
        <v>27</v>
      </c>
      <c r="C31">
        <v>2</v>
      </c>
      <c r="E31">
        <f t="shared" si="0"/>
        <v>2</v>
      </c>
      <c r="G31">
        <v>27</v>
      </c>
      <c r="H31">
        <v>1</v>
      </c>
    </row>
    <row r="32" spans="2:9" x14ac:dyDescent="0.25">
      <c r="B32">
        <v>28</v>
      </c>
      <c r="C32">
        <v>2</v>
      </c>
      <c r="E32">
        <f t="shared" si="0"/>
        <v>2</v>
      </c>
      <c r="G32">
        <v>28</v>
      </c>
      <c r="H32">
        <v>1</v>
      </c>
    </row>
    <row r="33" spans="2:8" x14ac:dyDescent="0.25">
      <c r="B33">
        <v>29</v>
      </c>
      <c r="C33">
        <v>2</v>
      </c>
      <c r="E33">
        <f t="shared" si="0"/>
        <v>2</v>
      </c>
      <c r="G33">
        <v>29</v>
      </c>
      <c r="H33">
        <v>1</v>
      </c>
    </row>
    <row r="34" spans="2:8" x14ac:dyDescent="0.25">
      <c r="B34">
        <v>30</v>
      </c>
      <c r="C34">
        <v>2</v>
      </c>
      <c r="E34">
        <f t="shared" si="0"/>
        <v>2</v>
      </c>
      <c r="G34">
        <v>30</v>
      </c>
      <c r="H34">
        <v>3</v>
      </c>
    </row>
    <row r="35" spans="2:8" x14ac:dyDescent="0.25">
      <c r="B35">
        <v>31</v>
      </c>
      <c r="C35">
        <v>2</v>
      </c>
      <c r="E35">
        <f>C35</f>
        <v>2</v>
      </c>
      <c r="G35">
        <v>31</v>
      </c>
      <c r="H35">
        <v>3</v>
      </c>
    </row>
    <row r="36" spans="2:8" x14ac:dyDescent="0.25">
      <c r="B36">
        <v>32</v>
      </c>
      <c r="C36">
        <v>3</v>
      </c>
      <c r="E36">
        <f t="shared" si="0"/>
        <v>3</v>
      </c>
      <c r="G36">
        <v>32</v>
      </c>
      <c r="H36">
        <v>2</v>
      </c>
    </row>
    <row r="37" spans="2:8" x14ac:dyDescent="0.25">
      <c r="B37">
        <v>33</v>
      </c>
      <c r="C37">
        <v>1</v>
      </c>
      <c r="E37">
        <f t="shared" si="0"/>
        <v>1</v>
      </c>
      <c r="G37">
        <v>33</v>
      </c>
      <c r="H37">
        <v>2</v>
      </c>
    </row>
    <row r="38" spans="2:8" x14ac:dyDescent="0.25">
      <c r="B38">
        <v>34</v>
      </c>
      <c r="C38">
        <v>1</v>
      </c>
      <c r="E38" s="30">
        <v>2.5</v>
      </c>
      <c r="G38">
        <v>34</v>
      </c>
    </row>
    <row r="39" spans="2:8" x14ac:dyDescent="0.25">
      <c r="B39">
        <v>35</v>
      </c>
      <c r="C39">
        <v>2.5</v>
      </c>
      <c r="E39">
        <f>C39</f>
        <v>2.5</v>
      </c>
      <c r="G39">
        <v>35</v>
      </c>
    </row>
    <row r="40" spans="2:8" x14ac:dyDescent="0.25">
      <c r="B40">
        <v>36</v>
      </c>
      <c r="C40">
        <v>2</v>
      </c>
      <c r="E40" s="30">
        <v>3</v>
      </c>
      <c r="G40">
        <v>36</v>
      </c>
    </row>
    <row r="41" spans="2:8" x14ac:dyDescent="0.25">
      <c r="B41">
        <v>37</v>
      </c>
      <c r="C41">
        <v>2</v>
      </c>
      <c r="E41" s="30">
        <v>3</v>
      </c>
      <c r="G41">
        <v>37</v>
      </c>
    </row>
    <row r="42" spans="2:8" x14ac:dyDescent="0.25">
      <c r="B42">
        <v>38</v>
      </c>
      <c r="C42">
        <v>3</v>
      </c>
      <c r="E42">
        <f>C42</f>
        <v>3</v>
      </c>
      <c r="G42">
        <v>38</v>
      </c>
    </row>
    <row r="43" spans="2:8" x14ac:dyDescent="0.25">
      <c r="B43">
        <v>39</v>
      </c>
      <c r="C43">
        <v>3</v>
      </c>
      <c r="E43">
        <f t="shared" ref="E43:E54" si="1">C43</f>
        <v>3</v>
      </c>
      <c r="G43">
        <v>39</v>
      </c>
    </row>
    <row r="44" spans="2:8" x14ac:dyDescent="0.25">
      <c r="B44">
        <v>40</v>
      </c>
      <c r="C44">
        <v>4</v>
      </c>
      <c r="E44">
        <f t="shared" si="1"/>
        <v>4</v>
      </c>
      <c r="G44">
        <v>40</v>
      </c>
    </row>
    <row r="45" spans="2:8" x14ac:dyDescent="0.25">
      <c r="B45">
        <v>41</v>
      </c>
      <c r="C45">
        <v>4</v>
      </c>
      <c r="E45">
        <f t="shared" si="1"/>
        <v>4</v>
      </c>
      <c r="G45">
        <v>41</v>
      </c>
    </row>
    <row r="46" spans="2:8" x14ac:dyDescent="0.25">
      <c r="B46">
        <v>42</v>
      </c>
      <c r="C46">
        <v>4</v>
      </c>
      <c r="E46">
        <f t="shared" si="1"/>
        <v>4</v>
      </c>
      <c r="G46">
        <v>42</v>
      </c>
    </row>
    <row r="47" spans="2:8" x14ac:dyDescent="0.25">
      <c r="B47">
        <v>43</v>
      </c>
      <c r="C47">
        <v>4</v>
      </c>
      <c r="E47">
        <f t="shared" si="1"/>
        <v>4</v>
      </c>
      <c r="G47">
        <v>43</v>
      </c>
    </row>
    <row r="48" spans="2:8" x14ac:dyDescent="0.25">
      <c r="B48">
        <v>44</v>
      </c>
      <c r="C48">
        <v>4</v>
      </c>
      <c r="E48">
        <f t="shared" si="1"/>
        <v>4</v>
      </c>
      <c r="G48">
        <v>44</v>
      </c>
    </row>
    <row r="49" spans="2:15" x14ac:dyDescent="0.25">
      <c r="B49">
        <v>45</v>
      </c>
      <c r="C49">
        <v>4</v>
      </c>
      <c r="E49">
        <f t="shared" si="1"/>
        <v>4</v>
      </c>
      <c r="G49">
        <v>45</v>
      </c>
    </row>
    <row r="50" spans="2:15" x14ac:dyDescent="0.25">
      <c r="B50">
        <v>46</v>
      </c>
      <c r="D50" t="s">
        <v>75</v>
      </c>
      <c r="G50">
        <v>46</v>
      </c>
    </row>
    <row r="51" spans="2:15" x14ac:dyDescent="0.25">
      <c r="B51">
        <v>47</v>
      </c>
      <c r="C51">
        <v>2</v>
      </c>
      <c r="E51">
        <f t="shared" si="1"/>
        <v>2</v>
      </c>
      <c r="G51">
        <v>47</v>
      </c>
    </row>
    <row r="52" spans="2:15" x14ac:dyDescent="0.25">
      <c r="B52">
        <v>48</v>
      </c>
      <c r="C52">
        <v>2</v>
      </c>
      <c r="E52">
        <f t="shared" si="1"/>
        <v>2</v>
      </c>
      <c r="G52">
        <v>48</v>
      </c>
    </row>
    <row r="53" spans="2:15" x14ac:dyDescent="0.25">
      <c r="B53">
        <v>49</v>
      </c>
      <c r="C53">
        <v>2</v>
      </c>
      <c r="E53">
        <f t="shared" si="1"/>
        <v>2</v>
      </c>
      <c r="G53">
        <v>49</v>
      </c>
    </row>
    <row r="54" spans="2:15" x14ac:dyDescent="0.25">
      <c r="B54">
        <v>50</v>
      </c>
      <c r="C54">
        <v>3.5</v>
      </c>
      <c r="E54">
        <f t="shared" si="1"/>
        <v>3.5</v>
      </c>
      <c r="G54">
        <v>50</v>
      </c>
      <c r="K54" s="39"/>
      <c r="L54" s="40" t="s">
        <v>4</v>
      </c>
      <c r="M54" s="40" t="s">
        <v>5</v>
      </c>
      <c r="N54" s="40" t="s">
        <v>6</v>
      </c>
      <c r="O54" s="41" t="s">
        <v>7</v>
      </c>
    </row>
    <row r="55" spans="2:15" x14ac:dyDescent="0.25">
      <c r="B55">
        <v>51</v>
      </c>
      <c r="C55">
        <v>3</v>
      </c>
      <c r="E55" s="30">
        <v>3.5</v>
      </c>
      <c r="G55">
        <v>51</v>
      </c>
      <c r="K55" s="42" t="s">
        <v>8</v>
      </c>
      <c r="L55" s="53">
        <f>C60</f>
        <v>3.0408163265306123</v>
      </c>
      <c r="M55" s="53">
        <f>C63</f>
        <v>3.0609756097560976</v>
      </c>
      <c r="N55" s="53">
        <f>H60</f>
        <v>2.5517241379310347</v>
      </c>
      <c r="O55" s="54">
        <f>H63</f>
        <v>2.6842105263157894</v>
      </c>
    </row>
    <row r="56" spans="2:15" x14ac:dyDescent="0.25">
      <c r="B56">
        <v>52</v>
      </c>
      <c r="C56">
        <v>3</v>
      </c>
      <c r="E56" s="30">
        <v>3.5</v>
      </c>
      <c r="G56">
        <v>52</v>
      </c>
      <c r="K56" s="42" t="s">
        <v>72</v>
      </c>
      <c r="L56" s="43">
        <v>6</v>
      </c>
      <c r="M56" s="43">
        <v>6</v>
      </c>
      <c r="N56" s="43">
        <v>5</v>
      </c>
      <c r="O56" s="44">
        <v>5</v>
      </c>
    </row>
    <row r="57" spans="2:15" x14ac:dyDescent="0.25">
      <c r="B57">
        <v>53</v>
      </c>
      <c r="C57">
        <v>4</v>
      </c>
      <c r="E57">
        <f>C57</f>
        <v>4</v>
      </c>
      <c r="G57">
        <v>53</v>
      </c>
      <c r="K57" s="45" t="s">
        <v>13</v>
      </c>
      <c r="L57" s="55">
        <v>2</v>
      </c>
      <c r="M57" s="55">
        <v>1</v>
      </c>
      <c r="N57" s="55">
        <v>4</v>
      </c>
      <c r="O57" s="56">
        <v>3</v>
      </c>
    </row>
    <row r="58" spans="2:15" x14ac:dyDescent="0.25">
      <c r="B58">
        <v>54</v>
      </c>
      <c r="C58">
        <v>4</v>
      </c>
      <c r="E58">
        <f t="shared" ref="E58" si="2">C58</f>
        <v>4</v>
      </c>
      <c r="G58">
        <v>54</v>
      </c>
    </row>
    <row r="59" spans="2:15" x14ac:dyDescent="0.25">
      <c r="B59">
        <v>55</v>
      </c>
      <c r="D59" t="s">
        <v>76</v>
      </c>
      <c r="G59">
        <v>55</v>
      </c>
      <c r="J59" s="80"/>
      <c r="K59" s="17" t="s">
        <v>72</v>
      </c>
    </row>
    <row r="60" spans="2:15" x14ac:dyDescent="0.25">
      <c r="C60" s="7">
        <f>AVERAGE(C5:C59)</f>
        <v>3.0408163265306123</v>
      </c>
      <c r="D60" s="7" t="s">
        <v>80</v>
      </c>
      <c r="E60" s="31">
        <f>AVERAGE(E5:E59)</f>
        <v>3.1326530612244898</v>
      </c>
      <c r="F60" s="1"/>
      <c r="G60" s="1"/>
      <c r="H60" s="7">
        <f>AVERAGE(H5:H59)</f>
        <v>2.5517241379310347</v>
      </c>
      <c r="I60" s="7" t="s">
        <v>81</v>
      </c>
      <c r="J60" s="18">
        <v>1</v>
      </c>
      <c r="K60" s="73" t="s">
        <v>14</v>
      </c>
    </row>
    <row r="61" spans="2:15" x14ac:dyDescent="0.25">
      <c r="J61" s="18">
        <v>2</v>
      </c>
      <c r="K61" s="73" t="s">
        <v>101</v>
      </c>
    </row>
    <row r="62" spans="2:15" x14ac:dyDescent="0.25">
      <c r="J62" s="18">
        <v>3</v>
      </c>
      <c r="K62" s="73" t="s">
        <v>102</v>
      </c>
    </row>
    <row r="63" spans="2:15" x14ac:dyDescent="0.25">
      <c r="C63" s="7">
        <f>AVERAGE(C8:C49)</f>
        <v>3.0609756097560976</v>
      </c>
      <c r="D63" s="7" t="s">
        <v>79</v>
      </c>
      <c r="E63" s="31">
        <f>AVERAGE(E8:E49)</f>
        <v>3.1463414634146343</v>
      </c>
      <c r="H63" s="7">
        <f>AVERAGE(H8:H26)</f>
        <v>2.6842105263157894</v>
      </c>
      <c r="I63" s="7" t="s">
        <v>78</v>
      </c>
      <c r="J63" s="18">
        <v>4</v>
      </c>
      <c r="K63" s="73" t="s">
        <v>103</v>
      </c>
    </row>
    <row r="64" spans="2:15" x14ac:dyDescent="0.25">
      <c r="J64" s="18">
        <v>5</v>
      </c>
      <c r="K64" s="73" t="s">
        <v>104</v>
      </c>
    </row>
    <row r="65" spans="10:11" x14ac:dyDescent="0.25">
      <c r="J65" s="18">
        <v>6</v>
      </c>
      <c r="K65" s="73" t="s">
        <v>105</v>
      </c>
    </row>
    <row r="66" spans="10:11" x14ac:dyDescent="0.25">
      <c r="J66" s="21">
        <v>7</v>
      </c>
      <c r="K66" s="74" t="s">
        <v>73</v>
      </c>
    </row>
  </sheetData>
  <mergeCells count="2">
    <mergeCell ref="B3:C3"/>
    <mergeCell ref="G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M24"/>
  <sheetViews>
    <sheetView workbookViewId="0">
      <selection activeCell="E7" sqref="E7"/>
    </sheetView>
  </sheetViews>
  <sheetFormatPr baseColWidth="10" defaultColWidth="10.85546875" defaultRowHeight="15" x14ac:dyDescent="0.25"/>
  <cols>
    <col min="1" max="1" width="31.28515625" customWidth="1"/>
    <col min="5" max="5" width="13.85546875" customWidth="1"/>
  </cols>
  <sheetData>
    <row r="3" spans="1:13" x14ac:dyDescent="0.25">
      <c r="A3" s="1" t="s">
        <v>29</v>
      </c>
    </row>
    <row r="4" spans="1:13" x14ac:dyDescent="0.25"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32</v>
      </c>
    </row>
    <row r="5" spans="1:13" x14ac:dyDescent="0.25">
      <c r="A5" t="s">
        <v>31</v>
      </c>
      <c r="B5" s="12">
        <v>1877.3603919999998</v>
      </c>
      <c r="C5" s="12">
        <v>6428.6253674302361</v>
      </c>
      <c r="D5" s="12">
        <v>5629.4491702668729</v>
      </c>
      <c r="E5" s="12">
        <v>7129</v>
      </c>
      <c r="F5" s="12">
        <v>5326</v>
      </c>
    </row>
    <row r="6" spans="1:13" x14ac:dyDescent="0.25">
      <c r="A6" t="s">
        <v>20</v>
      </c>
      <c r="B6" s="13">
        <f>I11</f>
        <v>0.26042378673957622</v>
      </c>
      <c r="C6" s="13">
        <f t="shared" ref="C6:D6" si="0">J11</f>
        <v>0.23116798963226956</v>
      </c>
      <c r="D6" s="13">
        <f t="shared" si="0"/>
        <v>0.20992135511191773</v>
      </c>
      <c r="E6" s="13">
        <f>L11</f>
        <v>0.24910447761194029</v>
      </c>
      <c r="F6" s="13">
        <f t="shared" ref="F6" si="1">M11</f>
        <v>0.24303471924560652</v>
      </c>
      <c r="G6" t="s">
        <v>153</v>
      </c>
    </row>
    <row r="7" spans="1:13" x14ac:dyDescent="0.25">
      <c r="A7" t="s">
        <v>30</v>
      </c>
      <c r="B7" s="57">
        <f>B5*(1+B6)</f>
        <v>2366.2696943595352</v>
      </c>
      <c r="C7" s="58">
        <f t="shared" ref="C7:F7" si="2">C5*(1+C6)</f>
        <v>7914.7177697180941</v>
      </c>
      <c r="D7" s="58">
        <f t="shared" si="2"/>
        <v>6811.1907686229551</v>
      </c>
      <c r="E7" s="58">
        <f t="shared" si="2"/>
        <v>8904.8658208955221</v>
      </c>
      <c r="F7" s="59">
        <f t="shared" si="2"/>
        <v>6620.402914702101</v>
      </c>
    </row>
    <row r="8" spans="1:13" x14ac:dyDescent="0.25">
      <c r="A8" s="1" t="s">
        <v>83</v>
      </c>
      <c r="B8" s="61"/>
      <c r="C8" s="82">
        <v>3</v>
      </c>
      <c r="D8" s="82">
        <v>2</v>
      </c>
      <c r="E8" s="82">
        <v>4</v>
      </c>
      <c r="F8" s="83">
        <v>1</v>
      </c>
      <c r="H8" s="23" t="s">
        <v>38</v>
      </c>
      <c r="I8" s="14" t="s">
        <v>3</v>
      </c>
      <c r="J8" s="15" t="s">
        <v>33</v>
      </c>
      <c r="K8" s="16" t="s">
        <v>5</v>
      </c>
      <c r="L8" s="14" t="s">
        <v>34</v>
      </c>
      <c r="M8" s="17" t="s">
        <v>7</v>
      </c>
    </row>
    <row r="9" spans="1:13" x14ac:dyDescent="0.25">
      <c r="A9" s="4" t="s">
        <v>84</v>
      </c>
      <c r="B9" s="61"/>
      <c r="C9" s="82">
        <v>1</v>
      </c>
      <c r="D9" s="82"/>
      <c r="E9" s="82">
        <v>2</v>
      </c>
      <c r="F9" s="83"/>
      <c r="H9" s="18" t="s">
        <v>35</v>
      </c>
      <c r="I9" s="19">
        <v>1463</v>
      </c>
      <c r="J9" s="19">
        <v>6173</v>
      </c>
      <c r="K9" s="19">
        <v>4959</v>
      </c>
      <c r="L9" s="19">
        <v>6700</v>
      </c>
      <c r="M9" s="20">
        <v>4666</v>
      </c>
    </row>
    <row r="10" spans="1:13" x14ac:dyDescent="0.25">
      <c r="A10" s="4" t="s">
        <v>85</v>
      </c>
      <c r="B10" s="60"/>
      <c r="C10" s="55"/>
      <c r="D10" s="55">
        <v>2</v>
      </c>
      <c r="E10" s="55"/>
      <c r="F10" s="56">
        <v>1</v>
      </c>
      <c r="H10" s="18" t="s">
        <v>36</v>
      </c>
      <c r="I10" s="19">
        <v>1844</v>
      </c>
      <c r="J10" s="19">
        <v>7600</v>
      </c>
      <c r="K10" s="19">
        <v>6000</v>
      </c>
      <c r="L10" s="19">
        <v>8369</v>
      </c>
      <c r="M10" s="20">
        <v>5800</v>
      </c>
    </row>
    <row r="11" spans="1:13" x14ac:dyDescent="0.25">
      <c r="H11" s="21" t="s">
        <v>37</v>
      </c>
      <c r="I11" s="22">
        <f>(I10-I9)/I9</f>
        <v>0.26042378673957622</v>
      </c>
      <c r="J11" s="22">
        <f t="shared" ref="J11:M11" si="3">(J10-J9)/J9</f>
        <v>0.23116798963226956</v>
      </c>
      <c r="K11" s="22">
        <f t="shared" si="3"/>
        <v>0.20992135511191773</v>
      </c>
      <c r="L11" s="22">
        <f t="shared" si="3"/>
        <v>0.24910447761194029</v>
      </c>
      <c r="M11" s="22">
        <f t="shared" si="3"/>
        <v>0.24303471924560652</v>
      </c>
    </row>
    <row r="13" spans="1:13" x14ac:dyDescent="0.25">
      <c r="A13" t="s">
        <v>166</v>
      </c>
      <c r="B13" s="62">
        <f>B7-B5</f>
        <v>488.90930235953533</v>
      </c>
      <c r="C13" s="62">
        <f t="shared" ref="C13:F13" si="4">C7-C5</f>
        <v>1486.092402287858</v>
      </c>
      <c r="D13" s="62">
        <f t="shared" si="4"/>
        <v>1181.7415983560822</v>
      </c>
      <c r="E13" s="62">
        <f t="shared" si="4"/>
        <v>1775.8658208955221</v>
      </c>
      <c r="F13" s="62">
        <f t="shared" si="4"/>
        <v>1294.402914702101</v>
      </c>
    </row>
    <row r="18" spans="1:9" x14ac:dyDescent="0.25">
      <c r="B18" t="s">
        <v>15</v>
      </c>
    </row>
    <row r="20" spans="1:9" x14ac:dyDescent="0.25">
      <c r="A20" s="91" t="s">
        <v>155</v>
      </c>
      <c r="C20" s="5" t="s">
        <v>4</v>
      </c>
      <c r="D20" s="5" t="s">
        <v>5</v>
      </c>
      <c r="E20" s="5" t="s">
        <v>6</v>
      </c>
      <c r="F20" s="5" t="s">
        <v>7</v>
      </c>
      <c r="G20" s="92" t="s">
        <v>156</v>
      </c>
    </row>
    <row r="21" spans="1:9" x14ac:dyDescent="0.25">
      <c r="A21" t="s">
        <v>157</v>
      </c>
      <c r="C21" s="12">
        <v>5777</v>
      </c>
      <c r="D21" s="12">
        <v>5370</v>
      </c>
      <c r="E21" s="12">
        <v>6814</v>
      </c>
      <c r="F21" s="12">
        <v>5063</v>
      </c>
      <c r="G21" s="12"/>
      <c r="H21" s="12"/>
      <c r="I21" s="12"/>
    </row>
    <row r="22" spans="1:9" x14ac:dyDescent="0.25">
      <c r="A22" t="s">
        <v>20</v>
      </c>
      <c r="C22" s="93">
        <f>J11</f>
        <v>0.23116798963226956</v>
      </c>
      <c r="D22" s="93">
        <f t="shared" ref="D22:F22" si="5">K11</f>
        <v>0.20992135511191773</v>
      </c>
      <c r="E22" s="93">
        <f t="shared" si="5"/>
        <v>0.24910447761194029</v>
      </c>
      <c r="F22" s="93">
        <f t="shared" si="5"/>
        <v>0.24303471924560652</v>
      </c>
      <c r="G22" s="12"/>
      <c r="H22" s="12"/>
      <c r="I22" s="12"/>
    </row>
    <row r="23" spans="1:9" x14ac:dyDescent="0.25">
      <c r="A23" t="s">
        <v>158</v>
      </c>
      <c r="C23" s="12">
        <f>C21*(1+C22)</f>
        <v>7112.457476105621</v>
      </c>
      <c r="D23" s="12">
        <f t="shared" ref="D23:F23" si="6">D21*(1+D22)</f>
        <v>6497.2776769509983</v>
      </c>
      <c r="E23" s="12">
        <f t="shared" si="6"/>
        <v>8511.3979104477603</v>
      </c>
      <c r="F23" s="12">
        <f t="shared" si="6"/>
        <v>6293.4847835405062</v>
      </c>
      <c r="G23" s="12"/>
      <c r="H23" s="12"/>
      <c r="I23" s="12"/>
    </row>
    <row r="24" spans="1:9" x14ac:dyDescent="0.25">
      <c r="C24" s="12"/>
      <c r="D24" s="12"/>
      <c r="E24" s="12"/>
      <c r="F24" s="12"/>
      <c r="G24" s="12"/>
      <c r="H24" s="12"/>
      <c r="I24" s="12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24"/>
  <sheetViews>
    <sheetView zoomScale="70" zoomScaleNormal="70" workbookViewId="0">
      <selection activeCell="F12" sqref="F12"/>
    </sheetView>
  </sheetViews>
  <sheetFormatPr baseColWidth="10" defaultColWidth="10.85546875" defaultRowHeight="15" x14ac:dyDescent="0.25"/>
  <cols>
    <col min="1" max="1" width="44.42578125" bestFit="1" customWidth="1"/>
    <col min="2" max="2" width="11.5703125" bestFit="1" customWidth="1"/>
    <col min="3" max="4" width="12.85546875" bestFit="1" customWidth="1"/>
    <col min="5" max="5" width="13" bestFit="1" customWidth="1"/>
    <col min="6" max="6" width="12.140625" customWidth="1"/>
    <col min="7" max="7" width="62.85546875" customWidth="1"/>
  </cols>
  <sheetData>
    <row r="2" spans="1:9" ht="18.75" x14ac:dyDescent="0.3">
      <c r="A2" s="2" t="s">
        <v>133</v>
      </c>
    </row>
    <row r="3" spans="1:9" x14ac:dyDescent="0.25"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7" t="s">
        <v>32</v>
      </c>
    </row>
    <row r="4" spans="1:9" x14ac:dyDescent="0.25">
      <c r="A4" s="1" t="s">
        <v>127</v>
      </c>
    </row>
    <row r="5" spans="1:9" x14ac:dyDescent="0.25">
      <c r="A5" s="4" t="s">
        <v>128</v>
      </c>
      <c r="B5">
        <f>Driftseffektivitet!B25</f>
        <v>392</v>
      </c>
      <c r="C5">
        <f>Driftseffektivitet!C25</f>
        <v>350</v>
      </c>
      <c r="D5">
        <f>Driftseffektivitet!D25</f>
        <v>354</v>
      </c>
      <c r="E5">
        <f>Driftseffektivitet!E25</f>
        <v>361</v>
      </c>
      <c r="F5">
        <f>Driftseffektivitet!F25</f>
        <v>378.6</v>
      </c>
      <c r="G5" t="s">
        <v>135</v>
      </c>
    </row>
    <row r="6" spans="1:9" x14ac:dyDescent="0.25">
      <c r="A6" s="4" t="s">
        <v>129</v>
      </c>
      <c r="B6" s="68"/>
      <c r="C6">
        <f>$B$5-C5</f>
        <v>42</v>
      </c>
      <c r="D6">
        <f>$B$5-D5</f>
        <v>38</v>
      </c>
      <c r="E6">
        <f t="shared" ref="E6:F6" si="0">$B$5-E5</f>
        <v>31</v>
      </c>
      <c r="F6">
        <f t="shared" si="0"/>
        <v>13.399999999999977</v>
      </c>
    </row>
    <row r="7" spans="1:9" x14ac:dyDescent="0.25">
      <c r="A7" s="4" t="s">
        <v>130</v>
      </c>
      <c r="B7" s="12">
        <f>'Forventet kostnad'!B7</f>
        <v>2366.2696943595352</v>
      </c>
      <c r="C7" s="12">
        <f>'Forventet kostnad'!C7</f>
        <v>7914.7177697180941</v>
      </c>
      <c r="D7" s="12">
        <f>'Forventet kostnad'!D7</f>
        <v>6811.1907686229551</v>
      </c>
      <c r="E7" s="12">
        <f>'Forventet kostnad'!E7</f>
        <v>8904.8658208955221</v>
      </c>
      <c r="F7" s="12">
        <f>'Forventet kostnad'!F7</f>
        <v>6620.402914702101</v>
      </c>
      <c r="G7" t="s">
        <v>154</v>
      </c>
    </row>
    <row r="8" spans="1:9" x14ac:dyDescent="0.25">
      <c r="A8" s="63" t="s">
        <v>131</v>
      </c>
      <c r="B8" s="68"/>
      <c r="C8" s="69">
        <f>C6/C7</f>
        <v>5.3065695103738306E-3</v>
      </c>
      <c r="D8" s="69">
        <f t="shared" ref="D8:F8" si="1">D6/D7</f>
        <v>5.5790538381415219E-3</v>
      </c>
      <c r="E8" s="69">
        <f t="shared" si="1"/>
        <v>3.4812427973094904E-3</v>
      </c>
      <c r="F8" s="69">
        <f t="shared" si="1"/>
        <v>2.0240459942766093E-3</v>
      </c>
    </row>
    <row r="9" spans="1:9" x14ac:dyDescent="0.25">
      <c r="A9" s="70" t="s">
        <v>132</v>
      </c>
      <c r="C9" s="3">
        <v>2</v>
      </c>
      <c r="D9" s="3">
        <v>1</v>
      </c>
      <c r="E9" s="3">
        <v>3</v>
      </c>
      <c r="F9" s="3">
        <v>4</v>
      </c>
    </row>
    <row r="11" spans="1:9" x14ac:dyDescent="0.25">
      <c r="A11" s="1" t="s">
        <v>134</v>
      </c>
    </row>
    <row r="12" spans="1:9" x14ac:dyDescent="0.25">
      <c r="A12" s="4" t="s">
        <v>2</v>
      </c>
      <c r="B12" s="12">
        <f>Kapasitet!B24</f>
        <v>650000</v>
      </c>
      <c r="C12" s="12">
        <f>Kapasitet!C24</f>
        <v>1123000</v>
      </c>
      <c r="D12" s="12">
        <f>Kapasitet!D24</f>
        <v>1062000</v>
      </c>
      <c r="E12" s="12">
        <f>Kapasitet!E24</f>
        <v>873000</v>
      </c>
      <c r="F12" s="12">
        <f>Kapasitet!F24</f>
        <v>892000</v>
      </c>
      <c r="G12" t="s">
        <v>136</v>
      </c>
    </row>
    <row r="13" spans="1:9" x14ac:dyDescent="0.25">
      <c r="A13" s="4" t="s">
        <v>129</v>
      </c>
      <c r="B13" s="89"/>
      <c r="C13" s="12">
        <f>C12-$B$12</f>
        <v>473000</v>
      </c>
      <c r="D13" s="12">
        <f t="shared" ref="D13:F13" si="2">D12-$B$12</f>
        <v>412000</v>
      </c>
      <c r="E13" s="12">
        <f t="shared" si="2"/>
        <v>223000</v>
      </c>
      <c r="F13" s="12">
        <f t="shared" si="2"/>
        <v>242000</v>
      </c>
    </row>
    <row r="14" spans="1:9" x14ac:dyDescent="0.25">
      <c r="A14" s="4" t="s">
        <v>130</v>
      </c>
      <c r="B14" s="12">
        <f>'Forventet kostnad'!B7</f>
        <v>2366.2696943595352</v>
      </c>
      <c r="C14" s="12">
        <f>'Forventet kostnad'!C23</f>
        <v>7112.457476105621</v>
      </c>
      <c r="D14" s="12">
        <f>'Forventet kostnad'!D23</f>
        <v>6497.2776769509983</v>
      </c>
      <c r="E14" s="12">
        <f>'Forventet kostnad'!E23</f>
        <v>8511.3979104477603</v>
      </c>
      <c r="F14" s="12">
        <f>'Forventet kostnad'!F23</f>
        <v>6293.4847835405062</v>
      </c>
    </row>
    <row r="15" spans="1:9" x14ac:dyDescent="0.25">
      <c r="A15" s="4" t="s">
        <v>131</v>
      </c>
      <c r="B15" s="68"/>
      <c r="C15" s="62">
        <f>C13/C14</f>
        <v>66.50303380920711</v>
      </c>
      <c r="D15" s="62">
        <f t="shared" ref="D15:E15" si="3">D13/D14</f>
        <v>63.411173184357544</v>
      </c>
      <c r="E15" s="62">
        <f t="shared" si="3"/>
        <v>26.200161518270342</v>
      </c>
      <c r="F15" s="62">
        <f>F13/F14</f>
        <v>38.452464464982597</v>
      </c>
      <c r="I15" t="s">
        <v>15</v>
      </c>
    </row>
    <row r="16" spans="1:9" x14ac:dyDescent="0.25">
      <c r="A16" s="70" t="s">
        <v>86</v>
      </c>
      <c r="C16" s="3">
        <v>1</v>
      </c>
      <c r="D16" s="3">
        <v>2</v>
      </c>
      <c r="E16" s="3">
        <v>4</v>
      </c>
      <c r="F16" s="3">
        <v>3</v>
      </c>
    </row>
    <row r="18" spans="1:6" x14ac:dyDescent="0.25">
      <c r="A18" s="90" t="s">
        <v>161</v>
      </c>
    </row>
    <row r="19" spans="1:6" x14ac:dyDescent="0.25">
      <c r="A19" t="s">
        <v>12</v>
      </c>
      <c r="C19">
        <f>Samleark!C6</f>
        <v>6</v>
      </c>
      <c r="D19">
        <f>Samleark!D6</f>
        <v>6</v>
      </c>
      <c r="E19">
        <f>Samleark!E6</f>
        <v>4</v>
      </c>
      <c r="F19">
        <f>Samleark!F6</f>
        <v>4</v>
      </c>
    </row>
    <row r="20" spans="1:6" x14ac:dyDescent="0.25">
      <c r="A20" t="s">
        <v>9</v>
      </c>
      <c r="C20">
        <f>Samleark!C11</f>
        <v>5</v>
      </c>
      <c r="D20">
        <f>Samleark!D11</f>
        <v>5</v>
      </c>
      <c r="E20">
        <f>Samleark!E11</f>
        <v>5</v>
      </c>
      <c r="F20">
        <f>Samleark!F11</f>
        <v>4</v>
      </c>
    </row>
    <row r="21" spans="1:6" x14ac:dyDescent="0.25">
      <c r="A21" t="s">
        <v>159</v>
      </c>
      <c r="C21">
        <f>Samleark!C16</f>
        <v>5</v>
      </c>
      <c r="D21">
        <f>Samleark!D16</f>
        <v>5</v>
      </c>
      <c r="E21">
        <f>Samleark!E16</f>
        <v>4</v>
      </c>
      <c r="F21">
        <f>Samleark!F16</f>
        <v>3</v>
      </c>
    </row>
    <row r="22" spans="1:6" x14ac:dyDescent="0.25">
      <c r="A22" t="s">
        <v>160</v>
      </c>
      <c r="C22" s="29">
        <f>Samleark!C28</f>
        <v>6</v>
      </c>
      <c r="D22" s="29">
        <f>Samleark!D28</f>
        <v>6</v>
      </c>
      <c r="E22" s="29">
        <f>Samleark!E28</f>
        <v>5</v>
      </c>
      <c r="F22" s="29">
        <f>Samleark!F28</f>
        <v>5</v>
      </c>
    </row>
    <row r="23" spans="1:6" x14ac:dyDescent="0.25">
      <c r="A23" s="70" t="s">
        <v>16</v>
      </c>
      <c r="C23">
        <f>SUM(C19:C22)</f>
        <v>22</v>
      </c>
      <c r="D23">
        <f t="shared" ref="D23:F23" si="4">SUM(D19:D22)</f>
        <v>22</v>
      </c>
      <c r="E23">
        <f t="shared" si="4"/>
        <v>18</v>
      </c>
      <c r="F23">
        <f t="shared" si="4"/>
        <v>16</v>
      </c>
    </row>
    <row r="24" spans="1:6" x14ac:dyDescent="0.25">
      <c r="A24" s="70" t="s">
        <v>86</v>
      </c>
      <c r="C24" s="3">
        <v>1</v>
      </c>
      <c r="D24" s="3">
        <v>2</v>
      </c>
      <c r="E24" s="3">
        <v>3</v>
      </c>
      <c r="F24" s="3"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48"/>
  <sheetViews>
    <sheetView tabSelected="1" topLeftCell="A16" zoomScale="80" zoomScaleNormal="80" workbookViewId="0">
      <selection activeCell="H39" sqref="H39:I41"/>
    </sheetView>
  </sheetViews>
  <sheetFormatPr baseColWidth="10" defaultColWidth="10.85546875" defaultRowHeight="15" x14ac:dyDescent="0.25"/>
  <cols>
    <col min="1" max="1" width="37.28515625" bestFit="1" customWidth="1"/>
    <col min="2" max="2" width="16.5703125" customWidth="1"/>
    <col min="3" max="3" width="13" bestFit="1" customWidth="1"/>
    <col min="4" max="4" width="18.7109375" bestFit="1" customWidth="1"/>
    <col min="5" max="5" width="13" bestFit="1" customWidth="1"/>
    <col min="6" max="6" width="22.42578125" bestFit="1" customWidth="1"/>
    <col min="8" max="8" width="21" bestFit="1" customWidth="1"/>
    <col min="9" max="9" width="13" customWidth="1"/>
    <col min="10" max="10" width="22.140625" customWidth="1"/>
    <col min="11" max="11" width="12.85546875" bestFit="1" customWidth="1"/>
    <col min="18" max="18" width="11" customWidth="1"/>
  </cols>
  <sheetData>
    <row r="2" spans="1:19" x14ac:dyDescent="0.25">
      <c r="A2" s="30" t="s">
        <v>219</v>
      </c>
    </row>
    <row r="4" spans="1:19" x14ac:dyDescent="0.25">
      <c r="A4" s="106">
        <v>2040</v>
      </c>
      <c r="B4" s="5" t="s">
        <v>3</v>
      </c>
      <c r="C4" s="5"/>
      <c r="D4" s="5" t="s">
        <v>4</v>
      </c>
      <c r="E4" s="5"/>
      <c r="F4" s="5" t="s">
        <v>5</v>
      </c>
      <c r="G4" s="5"/>
      <c r="H4" s="5" t="s">
        <v>6</v>
      </c>
      <c r="I4" s="5"/>
      <c r="J4" s="5" t="s">
        <v>7</v>
      </c>
      <c r="K4" s="5" t="s">
        <v>32</v>
      </c>
    </row>
    <row r="5" spans="1:19" x14ac:dyDescent="0.25">
      <c r="A5" s="10" t="s">
        <v>115</v>
      </c>
      <c r="B5" s="87">
        <v>640000</v>
      </c>
      <c r="C5" s="87"/>
      <c r="D5" s="87">
        <v>850000</v>
      </c>
      <c r="E5" s="87"/>
      <c r="F5" s="87">
        <v>912000</v>
      </c>
      <c r="G5" s="87"/>
      <c r="H5" s="87">
        <v>732000</v>
      </c>
      <c r="I5" s="87"/>
      <c r="J5" s="87">
        <v>748000</v>
      </c>
    </row>
    <row r="6" spans="1:19" x14ac:dyDescent="0.25">
      <c r="A6" s="10" t="s">
        <v>200</v>
      </c>
      <c r="B6" s="87">
        <v>802000</v>
      </c>
      <c r="C6" s="87"/>
      <c r="D6" s="87">
        <v>942000</v>
      </c>
      <c r="E6" s="87"/>
      <c r="F6" s="87">
        <v>927000</v>
      </c>
      <c r="G6" s="87"/>
      <c r="H6" s="87">
        <v>801000</v>
      </c>
      <c r="I6" s="87"/>
      <c r="J6" s="87">
        <v>786000</v>
      </c>
    </row>
    <row r="7" spans="1:19" x14ac:dyDescent="0.25">
      <c r="A7" s="10" t="s">
        <v>201</v>
      </c>
      <c r="B7" s="87">
        <v>809000</v>
      </c>
      <c r="C7" s="87"/>
      <c r="D7" s="87">
        <v>952000</v>
      </c>
      <c r="E7" s="87"/>
      <c r="F7" s="87">
        <v>930000</v>
      </c>
      <c r="G7" s="87"/>
      <c r="H7" s="87">
        <v>836000</v>
      </c>
      <c r="I7" s="87"/>
      <c r="J7" s="87">
        <v>811000</v>
      </c>
    </row>
    <row r="8" spans="1:19" x14ac:dyDescent="0.25">
      <c r="A8" s="10" t="s">
        <v>212</v>
      </c>
      <c r="B8" s="87">
        <v>814000</v>
      </c>
      <c r="C8" s="87"/>
      <c r="D8" s="87">
        <v>968000</v>
      </c>
      <c r="E8" s="87"/>
      <c r="F8" s="87">
        <v>933000</v>
      </c>
      <c r="G8" s="87"/>
      <c r="H8" s="87">
        <v>950000</v>
      </c>
      <c r="I8" s="87"/>
      <c r="J8" s="87">
        <v>830000</v>
      </c>
    </row>
    <row r="9" spans="1:19" x14ac:dyDescent="0.25">
      <c r="A9" s="10" t="s">
        <v>116</v>
      </c>
      <c r="B9" s="123">
        <v>708000</v>
      </c>
      <c r="D9" s="123">
        <v>932000</v>
      </c>
      <c r="F9" s="123">
        <v>858000</v>
      </c>
      <c r="H9" s="123">
        <v>920000</v>
      </c>
      <c r="J9" s="123">
        <v>945000</v>
      </c>
    </row>
    <row r="10" spans="1:19" x14ac:dyDescent="0.25">
      <c r="A10" s="128" t="s">
        <v>214</v>
      </c>
      <c r="B10" s="125">
        <v>960000</v>
      </c>
      <c r="C10" s="125"/>
      <c r="D10" s="125">
        <f>Kapasitet!C7</f>
        <v>911999.99999999988</v>
      </c>
      <c r="E10" s="125"/>
      <c r="F10" s="125">
        <f>Kapasitet!D7</f>
        <v>1104000</v>
      </c>
      <c r="G10" s="125"/>
      <c r="H10" s="125">
        <f>Kapasitet!E7</f>
        <v>1160000</v>
      </c>
      <c r="I10" s="125"/>
      <c r="J10" s="125">
        <f>Kapasitet!F7</f>
        <v>1120000</v>
      </c>
    </row>
    <row r="11" spans="1:19" x14ac:dyDescent="0.25">
      <c r="A11" s="128" t="s">
        <v>119</v>
      </c>
      <c r="B11" s="125">
        <v>680000</v>
      </c>
      <c r="C11" s="125"/>
      <c r="D11" s="125">
        <f>Kapasitet!C8</f>
        <v>934736.84210526338</v>
      </c>
      <c r="E11" s="125"/>
      <c r="F11" s="125">
        <f>Kapasitet!D8</f>
        <v>858947.3684210527</v>
      </c>
      <c r="G11" s="125"/>
      <c r="H11" s="125">
        <f>Kapasitet!E8</f>
        <v>872000.00000000012</v>
      </c>
      <c r="I11" s="125"/>
      <c r="J11" s="125">
        <f>Kapasitet!F8</f>
        <v>903999.99999999988</v>
      </c>
      <c r="R11" s="72"/>
      <c r="S11" s="17"/>
    </row>
    <row r="12" spans="1:19" x14ac:dyDescent="0.25">
      <c r="A12" s="63" t="s">
        <v>150</v>
      </c>
      <c r="B12" s="12">
        <v>1248000</v>
      </c>
      <c r="C12" s="12"/>
      <c r="D12" s="12">
        <f>Kapasitet!C9</f>
        <v>8352000</v>
      </c>
      <c r="E12" s="12"/>
      <c r="F12" s="12">
        <f>Kapasitet!D9</f>
        <v>2232000</v>
      </c>
      <c r="G12" s="12"/>
      <c r="H12" s="12">
        <f>Kapasitet!E9</f>
        <v>3960000</v>
      </c>
      <c r="I12" s="12"/>
      <c r="J12" s="12">
        <f>Kapasitet!F9</f>
        <v>2440000</v>
      </c>
      <c r="R12" s="75"/>
      <c r="S12" s="73"/>
    </row>
    <row r="13" spans="1:19" x14ac:dyDescent="0.25">
      <c r="A13" s="63" t="s">
        <v>149</v>
      </c>
      <c r="B13" s="12">
        <v>1104000</v>
      </c>
      <c r="C13" s="12"/>
      <c r="D13" s="12">
        <f>Kapasitet!C10</f>
        <v>3032000</v>
      </c>
      <c r="E13" s="12"/>
      <c r="F13" s="12">
        <f>Kapasitet!D10</f>
        <v>1832000</v>
      </c>
      <c r="G13" s="12"/>
      <c r="H13" s="12">
        <f>Kapasitet!E10</f>
        <v>2256000</v>
      </c>
      <c r="I13" s="12"/>
      <c r="J13" s="12">
        <f>Kapasitet!F10</f>
        <v>2192000</v>
      </c>
      <c r="R13" s="75"/>
      <c r="S13" s="73"/>
    </row>
    <row r="14" spans="1:19" x14ac:dyDescent="0.25">
      <c r="A14" s="10" t="s">
        <v>117</v>
      </c>
      <c r="B14" s="87">
        <v>600000</v>
      </c>
      <c r="C14" s="87"/>
      <c r="D14" s="87"/>
      <c r="E14" s="87"/>
      <c r="F14" s="87"/>
      <c r="G14" s="87"/>
      <c r="H14" s="87"/>
      <c r="I14" s="87"/>
      <c r="J14" s="87"/>
      <c r="K14" t="s">
        <v>162</v>
      </c>
      <c r="R14" s="75"/>
      <c r="S14" s="73"/>
    </row>
    <row r="15" spans="1:19" x14ac:dyDescent="0.25">
      <c r="A15" s="106" t="s">
        <v>21</v>
      </c>
      <c r="B15" s="12">
        <f>MIN(B5:B14)</f>
        <v>600000</v>
      </c>
      <c r="C15" s="12"/>
      <c r="D15" s="12">
        <f>MIN(D5:D14)</f>
        <v>850000</v>
      </c>
      <c r="E15" s="12"/>
      <c r="F15" s="12">
        <f>MIN(F5:F14)</f>
        <v>858000</v>
      </c>
      <c r="G15" s="12"/>
      <c r="H15" s="12">
        <f>MIN(H5:H14)</f>
        <v>732000</v>
      </c>
      <c r="I15" s="12"/>
      <c r="J15" s="12">
        <f>MIN(J5:J14)</f>
        <v>748000</v>
      </c>
      <c r="R15" s="75"/>
      <c r="S15" s="73"/>
    </row>
    <row r="16" spans="1:19" x14ac:dyDescent="0.25">
      <c r="A16" s="106" t="s">
        <v>22</v>
      </c>
      <c r="B16" s="6">
        <f>B15/$K$16</f>
        <v>0.75</v>
      </c>
      <c r="C16" s="6"/>
      <c r="D16" s="6">
        <f t="shared" ref="D16:J16" si="0">D15/$K$16</f>
        <v>1.0625</v>
      </c>
      <c r="E16" s="6"/>
      <c r="F16" s="6">
        <f>F15/$K$16</f>
        <v>1.0725</v>
      </c>
      <c r="G16" s="6"/>
      <c r="H16" s="6">
        <f t="shared" si="0"/>
        <v>0.91500000000000004</v>
      </c>
      <c r="I16" s="6"/>
      <c r="J16" s="6">
        <f t="shared" si="0"/>
        <v>0.93500000000000005</v>
      </c>
      <c r="K16" s="12">
        <v>800000</v>
      </c>
      <c r="R16" s="75"/>
      <c r="S16" s="73"/>
    </row>
    <row r="17" spans="1:21" x14ac:dyDescent="0.25">
      <c r="A17" s="106"/>
      <c r="R17" s="75"/>
      <c r="S17" s="73"/>
    </row>
    <row r="18" spans="1:21" x14ac:dyDescent="0.25">
      <c r="A18" s="106"/>
      <c r="B18" s="133" t="s">
        <v>3</v>
      </c>
      <c r="C18" s="133"/>
      <c r="D18" s="133" t="s">
        <v>4</v>
      </c>
      <c r="E18" s="133"/>
      <c r="F18" s="133" t="s">
        <v>5</v>
      </c>
      <c r="G18" s="133"/>
      <c r="H18" s="133" t="s">
        <v>6</v>
      </c>
      <c r="I18" s="133"/>
      <c r="J18" s="134" t="s">
        <v>7</v>
      </c>
      <c r="K18" s="134"/>
      <c r="R18" s="75"/>
      <c r="S18" s="73"/>
    </row>
    <row r="19" spans="1:21" x14ac:dyDescent="0.25">
      <c r="A19" s="106"/>
      <c r="B19" t="s">
        <v>206</v>
      </c>
      <c r="C19" s="5" t="s">
        <v>207</v>
      </c>
      <c r="D19" t="s">
        <v>206</v>
      </c>
      <c r="E19" s="5" t="s">
        <v>207</v>
      </c>
      <c r="F19" t="s">
        <v>206</v>
      </c>
      <c r="G19" s="5" t="s">
        <v>207</v>
      </c>
      <c r="H19" t="s">
        <v>206</v>
      </c>
      <c r="I19" s="5" t="s">
        <v>207</v>
      </c>
      <c r="J19" t="s">
        <v>206</v>
      </c>
      <c r="K19" s="5" t="s">
        <v>207</v>
      </c>
      <c r="P19" t="s">
        <v>15</v>
      </c>
      <c r="R19" s="76"/>
      <c r="S19" s="74"/>
    </row>
    <row r="20" spans="1:21" x14ac:dyDescent="0.25">
      <c r="A20" s="117" t="s">
        <v>202</v>
      </c>
      <c r="B20" s="87" t="s">
        <v>208</v>
      </c>
      <c r="C20" s="87">
        <f>B14</f>
        <v>600000</v>
      </c>
      <c r="D20" s="87" t="s">
        <v>205</v>
      </c>
      <c r="E20" s="87">
        <f>D5</f>
        <v>850000</v>
      </c>
      <c r="F20" s="87" t="s">
        <v>217</v>
      </c>
      <c r="G20" s="87">
        <f>F9</f>
        <v>858000</v>
      </c>
      <c r="H20" s="87" t="s">
        <v>211</v>
      </c>
      <c r="I20" s="87">
        <f>H5</f>
        <v>732000</v>
      </c>
      <c r="J20" s="87" t="s">
        <v>211</v>
      </c>
      <c r="K20" s="121">
        <f>J5</f>
        <v>748000</v>
      </c>
    </row>
    <row r="21" spans="1:21" x14ac:dyDescent="0.25">
      <c r="A21" s="117" t="s">
        <v>203</v>
      </c>
      <c r="B21" t="s">
        <v>205</v>
      </c>
      <c r="C21" s="62">
        <f>B5</f>
        <v>640000</v>
      </c>
      <c r="D21" t="s">
        <v>217</v>
      </c>
      <c r="E21" s="62">
        <f>D9</f>
        <v>932000</v>
      </c>
      <c r="F21" s="87" t="s">
        <v>209</v>
      </c>
      <c r="G21" s="62">
        <f>F5</f>
        <v>912000</v>
      </c>
      <c r="H21" t="s">
        <v>209</v>
      </c>
      <c r="I21" s="62">
        <f>H6</f>
        <v>801000</v>
      </c>
      <c r="J21" t="s">
        <v>209</v>
      </c>
      <c r="K21" s="62">
        <f>J6</f>
        <v>786000</v>
      </c>
    </row>
    <row r="22" spans="1:21" x14ac:dyDescent="0.25">
      <c r="A22" s="117" t="s">
        <v>204</v>
      </c>
      <c r="B22" s="12" t="s">
        <v>220</v>
      </c>
      <c r="C22" s="12">
        <v>708000</v>
      </c>
      <c r="D22" s="12" t="s">
        <v>211</v>
      </c>
      <c r="E22" s="86">
        <f>D6</f>
        <v>942000</v>
      </c>
      <c r="F22" s="12" t="s">
        <v>210</v>
      </c>
      <c r="G22" s="86">
        <f>F6</f>
        <v>927000</v>
      </c>
      <c r="H22" s="12" t="s">
        <v>210</v>
      </c>
      <c r="I22" s="86">
        <f>H7</f>
        <v>836000</v>
      </c>
      <c r="J22" s="12" t="s">
        <v>210</v>
      </c>
      <c r="K22" s="62">
        <f>J7</f>
        <v>811000</v>
      </c>
    </row>
    <row r="23" spans="1:21" x14ac:dyDescent="0.25">
      <c r="A23" s="63"/>
      <c r="B23" s="86"/>
      <c r="C23" s="86"/>
      <c r="D23" s="86"/>
      <c r="E23" s="86"/>
      <c r="F23" s="86"/>
      <c r="G23" s="86"/>
      <c r="H23" s="86"/>
      <c r="I23" s="86"/>
      <c r="J23" s="86"/>
      <c r="P23" t="s">
        <v>15</v>
      </c>
    </row>
    <row r="24" spans="1:21" x14ac:dyDescent="0.25">
      <c r="A24" s="63"/>
      <c r="B24" s="86"/>
      <c r="C24" s="86"/>
      <c r="D24" s="86"/>
      <c r="E24" s="86"/>
      <c r="F24" s="86"/>
      <c r="G24" s="86"/>
      <c r="H24" s="86"/>
      <c r="I24" s="86"/>
      <c r="J24" s="12" t="s">
        <v>15</v>
      </c>
      <c r="R24" s="85"/>
    </row>
    <row r="25" spans="1:21" x14ac:dyDescent="0.25">
      <c r="A25" s="63" t="s">
        <v>115</v>
      </c>
      <c r="B25" s="86">
        <v>815000</v>
      </c>
      <c r="D25" s="86">
        <v>1123000</v>
      </c>
      <c r="F25" s="86">
        <v>1112000</v>
      </c>
      <c r="H25" s="86">
        <v>873000</v>
      </c>
      <c r="J25" s="86">
        <v>892000</v>
      </c>
      <c r="R25" s="85"/>
    </row>
    <row r="26" spans="1:21" x14ac:dyDescent="0.25">
      <c r="A26" s="10" t="s">
        <v>200</v>
      </c>
      <c r="B26" s="86">
        <v>867000</v>
      </c>
      <c r="D26" s="86">
        <v>1160000</v>
      </c>
      <c r="F26" s="86">
        <v>1129000</v>
      </c>
      <c r="H26" s="86">
        <v>1078000</v>
      </c>
      <c r="J26" s="86">
        <v>1064000</v>
      </c>
      <c r="R26" s="85"/>
    </row>
    <row r="27" spans="1:21" x14ac:dyDescent="0.25">
      <c r="A27" s="10" t="s">
        <v>201</v>
      </c>
      <c r="B27" s="86">
        <v>895000</v>
      </c>
      <c r="D27" s="86">
        <v>1307000</v>
      </c>
      <c r="F27" s="86">
        <v>1142000</v>
      </c>
      <c r="H27" s="86">
        <v>1082000</v>
      </c>
      <c r="J27" s="86">
        <v>1070000</v>
      </c>
      <c r="R27" s="85"/>
    </row>
    <row r="28" spans="1:21" x14ac:dyDescent="0.25">
      <c r="A28" s="10" t="s">
        <v>212</v>
      </c>
      <c r="B28" s="86">
        <v>964000</v>
      </c>
      <c r="D28" s="86">
        <v>1324000</v>
      </c>
      <c r="F28" s="86">
        <v>1325000</v>
      </c>
      <c r="H28" s="86">
        <v>1175000</v>
      </c>
      <c r="J28" s="86">
        <v>1100000</v>
      </c>
      <c r="R28" s="85"/>
    </row>
    <row r="29" spans="1:21" x14ac:dyDescent="0.25">
      <c r="A29" s="10" t="s">
        <v>116</v>
      </c>
      <c r="B29" s="12">
        <v>870000</v>
      </c>
      <c r="D29" s="12">
        <v>1156000</v>
      </c>
      <c r="F29" s="12">
        <v>1062000</v>
      </c>
      <c r="H29" s="12">
        <v>1117000</v>
      </c>
      <c r="J29" s="12">
        <v>1167000</v>
      </c>
      <c r="O29" s="1"/>
      <c r="Q29" s="12"/>
      <c r="R29" s="12"/>
      <c r="S29" s="12"/>
      <c r="T29" s="12"/>
      <c r="U29" s="12"/>
    </row>
    <row r="30" spans="1:21" x14ac:dyDescent="0.25">
      <c r="A30" s="129" t="s">
        <v>118</v>
      </c>
      <c r="B30" s="125">
        <v>1221000</v>
      </c>
      <c r="C30" s="130"/>
      <c r="D30" s="125">
        <f>Kapasitet!C19</f>
        <v>1122000</v>
      </c>
      <c r="E30" s="130"/>
      <c r="F30" s="125">
        <f>Kapasitet!D19</f>
        <v>1397000</v>
      </c>
      <c r="G30" s="130"/>
      <c r="H30" s="125">
        <f>Kapasitet!E19</f>
        <v>1474000</v>
      </c>
      <c r="I30" s="130"/>
      <c r="J30" s="125">
        <f>Kapasitet!F19</f>
        <v>1408000</v>
      </c>
      <c r="Q30" s="12"/>
      <c r="R30" s="12"/>
      <c r="S30" s="12"/>
      <c r="T30" s="12"/>
      <c r="U30" s="12"/>
    </row>
    <row r="31" spans="1:21" x14ac:dyDescent="0.25">
      <c r="A31" s="129" t="s">
        <v>119</v>
      </c>
      <c r="B31" s="125">
        <v>836000</v>
      </c>
      <c r="C31" s="130"/>
      <c r="D31" s="125">
        <f>Kapasitet!C20</f>
        <v>1181052.6315789474</v>
      </c>
      <c r="E31" s="130"/>
      <c r="F31" s="125">
        <f>Kapasitet!D20</f>
        <v>1065263.1578947369</v>
      </c>
      <c r="G31" s="130"/>
      <c r="H31" s="125">
        <f>Kapasitet!E20</f>
        <v>1056000</v>
      </c>
      <c r="I31" s="130"/>
      <c r="J31" s="125">
        <f>Kapasitet!F20</f>
        <v>1111000</v>
      </c>
      <c r="K31" s="12"/>
      <c r="Q31" s="12"/>
      <c r="R31" s="12"/>
      <c r="S31" s="12"/>
      <c r="T31" s="12"/>
      <c r="U31" s="12"/>
    </row>
    <row r="32" spans="1:21" x14ac:dyDescent="0.25">
      <c r="A32" t="s">
        <v>150</v>
      </c>
      <c r="B32" s="12">
        <v>1034000</v>
      </c>
      <c r="D32" s="12">
        <f>Kapasitet!C21</f>
        <v>6556000</v>
      </c>
      <c r="F32" s="12">
        <f>Kapasitet!D21</f>
        <v>1837000</v>
      </c>
      <c r="H32" s="12">
        <f>Kapasitet!E21</f>
        <v>3300000</v>
      </c>
      <c r="J32" s="12">
        <f>Kapasitet!F21</f>
        <v>2002000</v>
      </c>
      <c r="Q32" s="12"/>
      <c r="R32" s="12"/>
      <c r="S32" s="12"/>
      <c r="T32" s="12"/>
      <c r="U32" s="12"/>
    </row>
    <row r="33" spans="1:22" x14ac:dyDescent="0.25">
      <c r="A33" t="s">
        <v>149</v>
      </c>
      <c r="B33" s="12">
        <v>946000</v>
      </c>
      <c r="D33" s="12">
        <f>Kapasitet!C22</f>
        <v>2178000</v>
      </c>
      <c r="F33" s="12">
        <f>Kapasitet!D22</f>
        <v>1485000</v>
      </c>
      <c r="H33" s="12">
        <f>Kapasitet!E22</f>
        <v>1870000</v>
      </c>
      <c r="J33" s="12">
        <f>Kapasitet!F22</f>
        <v>1771000</v>
      </c>
    </row>
    <row r="34" spans="1:22" ht="15.75" x14ac:dyDescent="0.25">
      <c r="A34" s="46" t="s">
        <v>117</v>
      </c>
      <c r="B34" s="12">
        <v>650000</v>
      </c>
      <c r="C34" s="12"/>
      <c r="D34" s="12"/>
      <c r="E34" s="12"/>
      <c r="F34" s="12"/>
      <c r="O34" s="1"/>
      <c r="Q34" s="12"/>
      <c r="R34" s="12"/>
      <c r="S34" s="12"/>
      <c r="T34" s="12"/>
      <c r="V34">
        <v>1100</v>
      </c>
    </row>
    <row r="35" spans="1:22" x14ac:dyDescent="0.25">
      <c r="B35" s="6"/>
      <c r="C35" s="6"/>
      <c r="D35" s="6"/>
      <c r="E35" s="6"/>
      <c r="F35" s="6"/>
      <c r="G35" s="6"/>
      <c r="H35" s="6"/>
      <c r="I35" s="6"/>
      <c r="J35" s="6"/>
      <c r="Q35" s="12"/>
      <c r="R35" s="12"/>
      <c r="S35" s="12"/>
      <c r="T35" s="12"/>
      <c r="U35" s="12"/>
    </row>
    <row r="36" spans="1:22" x14ac:dyDescent="0.25">
      <c r="Q36" s="12"/>
      <c r="R36" s="12"/>
      <c r="S36" s="12"/>
      <c r="T36" s="12"/>
      <c r="U36" s="12"/>
    </row>
    <row r="37" spans="1:22" x14ac:dyDescent="0.25">
      <c r="A37" s="106"/>
      <c r="B37" s="133" t="s">
        <v>3</v>
      </c>
      <c r="C37" s="133"/>
      <c r="D37" s="133" t="s">
        <v>4</v>
      </c>
      <c r="E37" s="133"/>
      <c r="F37" s="133" t="s">
        <v>5</v>
      </c>
      <c r="G37" s="133"/>
      <c r="H37" s="133" t="s">
        <v>6</v>
      </c>
      <c r="I37" s="133"/>
      <c r="J37" s="134" t="s">
        <v>7</v>
      </c>
      <c r="K37" s="134"/>
      <c r="Q37" s="12"/>
      <c r="R37" s="12"/>
      <c r="S37" s="12"/>
      <c r="T37" s="12"/>
      <c r="U37" s="12"/>
    </row>
    <row r="38" spans="1:22" x14ac:dyDescent="0.25">
      <c r="A38" s="106"/>
      <c r="B38" t="s">
        <v>206</v>
      </c>
      <c r="C38" s="5" t="s">
        <v>207</v>
      </c>
      <c r="D38" t="s">
        <v>206</v>
      </c>
      <c r="E38" s="5" t="s">
        <v>207</v>
      </c>
      <c r="F38" t="s">
        <v>206</v>
      </c>
      <c r="G38" s="5" t="s">
        <v>207</v>
      </c>
      <c r="H38" t="s">
        <v>206</v>
      </c>
      <c r="I38" s="5" t="s">
        <v>207</v>
      </c>
      <c r="J38" t="s">
        <v>206</v>
      </c>
      <c r="K38" s="5" t="s">
        <v>207</v>
      </c>
    </row>
    <row r="39" spans="1:22" x14ac:dyDescent="0.25">
      <c r="A39" s="117" t="s">
        <v>202</v>
      </c>
      <c r="B39" s="87" t="s">
        <v>208</v>
      </c>
      <c r="C39" s="87">
        <v>650000</v>
      </c>
      <c r="D39" s="87" t="s">
        <v>211</v>
      </c>
      <c r="E39" s="87">
        <f>D25</f>
        <v>1123000</v>
      </c>
      <c r="F39" s="87" t="s">
        <v>217</v>
      </c>
      <c r="G39" s="87">
        <f>F29</f>
        <v>1062000</v>
      </c>
      <c r="H39" s="87" t="s">
        <v>211</v>
      </c>
      <c r="I39" s="87">
        <f>H25</f>
        <v>873000</v>
      </c>
      <c r="J39" s="87" t="s">
        <v>211</v>
      </c>
      <c r="K39" s="121">
        <f>J25</f>
        <v>892000</v>
      </c>
    </row>
    <row r="40" spans="1:22" x14ac:dyDescent="0.25">
      <c r="A40" s="117" t="s">
        <v>203</v>
      </c>
      <c r="B40" t="s">
        <v>205</v>
      </c>
      <c r="C40" s="62">
        <f>B25</f>
        <v>815000</v>
      </c>
      <c r="D40" t="s">
        <v>217</v>
      </c>
      <c r="E40" s="62">
        <f>D29</f>
        <v>1156000</v>
      </c>
      <c r="F40" s="87" t="s">
        <v>211</v>
      </c>
      <c r="G40" s="62">
        <f>F25</f>
        <v>1112000</v>
      </c>
      <c r="H40" s="12" t="s">
        <v>210</v>
      </c>
      <c r="I40" s="86">
        <f>H26</f>
        <v>1078000</v>
      </c>
      <c r="J40" t="s">
        <v>209</v>
      </c>
      <c r="K40" s="62">
        <f>J26</f>
        <v>1064000</v>
      </c>
    </row>
    <row r="41" spans="1:22" x14ac:dyDescent="0.25">
      <c r="A41" s="117" t="s">
        <v>204</v>
      </c>
      <c r="B41" s="12" t="s">
        <v>209</v>
      </c>
      <c r="C41" s="131">
        <f>B26</f>
        <v>867000</v>
      </c>
      <c r="D41" s="12" t="s">
        <v>205</v>
      </c>
      <c r="E41" s="86">
        <f>D26</f>
        <v>1160000</v>
      </c>
      <c r="F41" s="12" t="s">
        <v>210</v>
      </c>
      <c r="G41" s="86">
        <f>F26</f>
        <v>1129000</v>
      </c>
      <c r="H41" s="12" t="s">
        <v>209</v>
      </c>
      <c r="I41" s="86">
        <f>H27</f>
        <v>1082000</v>
      </c>
      <c r="J41" s="12" t="s">
        <v>210</v>
      </c>
      <c r="K41" s="62">
        <f>J27</f>
        <v>1070000</v>
      </c>
    </row>
    <row r="42" spans="1:22" x14ac:dyDescent="0.25">
      <c r="B42" s="75"/>
      <c r="C42" s="118"/>
      <c r="D42" s="73"/>
      <c r="E42" s="120"/>
    </row>
    <row r="43" spans="1:22" x14ac:dyDescent="0.25">
      <c r="B43" s="75"/>
      <c r="C43" s="118"/>
      <c r="D43" s="73"/>
      <c r="E43" s="120"/>
    </row>
    <row r="44" spans="1:22" x14ac:dyDescent="0.25">
      <c r="B44" s="75"/>
      <c r="C44" s="118"/>
      <c r="D44" s="73"/>
      <c r="E44" s="120"/>
    </row>
    <row r="45" spans="1:22" x14ac:dyDescent="0.25">
      <c r="B45" s="75"/>
      <c r="C45" s="118"/>
      <c r="D45" s="73"/>
      <c r="E45" s="120"/>
    </row>
    <row r="46" spans="1:22" x14ac:dyDescent="0.25">
      <c r="B46" s="75"/>
      <c r="C46" s="118"/>
      <c r="D46" s="73"/>
      <c r="E46" s="120"/>
    </row>
    <row r="47" spans="1:22" x14ac:dyDescent="0.25">
      <c r="B47" s="75"/>
      <c r="C47" s="118"/>
      <c r="D47" s="73"/>
      <c r="E47" s="120"/>
    </row>
    <row r="48" spans="1:22" x14ac:dyDescent="0.25">
      <c r="B48" s="76"/>
      <c r="C48" s="119"/>
      <c r="D48" s="74"/>
      <c r="E48" s="120"/>
    </row>
  </sheetData>
  <mergeCells count="10">
    <mergeCell ref="B18:C18"/>
    <mergeCell ref="D18:E18"/>
    <mergeCell ref="F18:G18"/>
    <mergeCell ref="H18:I18"/>
    <mergeCell ref="J18:K18"/>
    <mergeCell ref="B37:C37"/>
    <mergeCell ref="D37:E37"/>
    <mergeCell ref="F37:G37"/>
    <mergeCell ref="H37:I37"/>
    <mergeCell ref="J37:K3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N40"/>
  <sheetViews>
    <sheetView topLeftCell="G13" zoomScaleNormal="100" workbookViewId="0">
      <selection activeCell="L31" sqref="L31"/>
    </sheetView>
  </sheetViews>
  <sheetFormatPr baseColWidth="10" defaultColWidth="9.140625" defaultRowHeight="15" x14ac:dyDescent="0.25"/>
  <cols>
    <col min="2" max="2" width="31.140625" bestFit="1" customWidth="1"/>
    <col min="3" max="3" width="10.28515625" customWidth="1"/>
    <col min="4" max="4" width="11.85546875" bestFit="1" customWidth="1"/>
    <col min="5" max="5" width="5.42578125" bestFit="1" customWidth="1"/>
    <col min="9" max="9" width="25.5703125" customWidth="1"/>
    <col min="10" max="10" width="32.140625" customWidth="1"/>
    <col min="11" max="11" width="22.5703125" customWidth="1"/>
    <col min="12" max="12" width="33.85546875" customWidth="1"/>
    <col min="13" max="13" width="28.42578125" customWidth="1"/>
  </cols>
  <sheetData>
    <row r="2" spans="2:13" x14ac:dyDescent="0.25">
      <c r="B2" t="s">
        <v>167</v>
      </c>
    </row>
    <row r="3" spans="2:13" ht="30.75" thickBot="1" x14ac:dyDescent="0.3">
      <c r="C3" t="s">
        <v>172</v>
      </c>
      <c r="D3" t="s">
        <v>168</v>
      </c>
      <c r="F3" t="s">
        <v>8</v>
      </c>
      <c r="J3" s="1" t="s">
        <v>176</v>
      </c>
      <c r="K3" s="99" t="s">
        <v>181</v>
      </c>
      <c r="L3" t="s">
        <v>177</v>
      </c>
      <c r="M3" s="99" t="s">
        <v>182</v>
      </c>
    </row>
    <row r="4" spans="2:13" ht="15.75" thickBot="1" x14ac:dyDescent="0.3">
      <c r="B4" s="134" t="s">
        <v>12</v>
      </c>
      <c r="C4" s="8">
        <v>2040</v>
      </c>
      <c r="D4" s="96">
        <v>600000</v>
      </c>
      <c r="E4" s="94" t="s">
        <v>54</v>
      </c>
      <c r="F4" s="134">
        <v>2</v>
      </c>
      <c r="I4" s="100" t="s">
        <v>183</v>
      </c>
      <c r="J4" s="104">
        <f>Kapasitet!B5</f>
        <v>640000</v>
      </c>
      <c r="K4" s="103">
        <f>MIN(J4:J9)</f>
        <v>600000</v>
      </c>
      <c r="L4" s="103">
        <f>Kapasitet!B17</f>
        <v>815000</v>
      </c>
      <c r="M4" s="101">
        <f>MIN(L4:L9)</f>
        <v>650000</v>
      </c>
    </row>
    <row r="5" spans="2:13" ht="16.5" thickTop="1" thickBot="1" x14ac:dyDescent="0.3">
      <c r="B5" s="134"/>
      <c r="C5" s="8">
        <v>2060</v>
      </c>
      <c r="D5" s="96">
        <v>650000</v>
      </c>
      <c r="E5" s="94" t="s">
        <v>54</v>
      </c>
      <c r="F5" s="134"/>
      <c r="I5" s="102" t="s">
        <v>218</v>
      </c>
      <c r="J5" s="103">
        <f>Kapasitet!B6</f>
        <v>708000</v>
      </c>
      <c r="K5" s="103">
        <f t="shared" ref="K5:K9" si="0">MIN(J5:J10)</f>
        <v>600000</v>
      </c>
      <c r="L5" s="103">
        <f>Kapasitet!B18</f>
        <v>870000</v>
      </c>
      <c r="M5" s="101">
        <f t="shared" ref="M5:M9" si="1">MIN(L5:L10)</f>
        <v>650000</v>
      </c>
    </row>
    <row r="6" spans="2:13" ht="15.75" thickBot="1" x14ac:dyDescent="0.3">
      <c r="B6" s="134" t="s">
        <v>9</v>
      </c>
      <c r="C6" s="8">
        <v>2040</v>
      </c>
      <c r="D6" s="96">
        <v>10</v>
      </c>
      <c r="E6" s="95" t="s">
        <v>171</v>
      </c>
      <c r="F6" s="134">
        <v>4</v>
      </c>
      <c r="I6" s="102" t="s">
        <v>184</v>
      </c>
      <c r="J6" s="103"/>
      <c r="K6" s="103"/>
      <c r="L6" s="103"/>
      <c r="M6" s="101"/>
    </row>
    <row r="7" spans="2:13" ht="30.75" thickBot="1" x14ac:dyDescent="0.3">
      <c r="B7" s="134"/>
      <c r="C7" s="8">
        <v>2060</v>
      </c>
      <c r="D7" s="96">
        <v>10</v>
      </c>
      <c r="E7" s="95" t="s">
        <v>171</v>
      </c>
      <c r="F7" s="134"/>
      <c r="I7" s="102" t="s">
        <v>188</v>
      </c>
      <c r="J7" s="103">
        <f>Kapasitet!B9</f>
        <v>1248000</v>
      </c>
      <c r="K7" s="103">
        <f t="shared" si="0"/>
        <v>600000</v>
      </c>
      <c r="L7" s="103">
        <f>Kapasitet!B21</f>
        <v>1034000</v>
      </c>
      <c r="M7" s="101">
        <f t="shared" si="1"/>
        <v>650000</v>
      </c>
    </row>
    <row r="8" spans="2:13" ht="30.75" thickBot="1" x14ac:dyDescent="0.3">
      <c r="B8" s="134" t="s">
        <v>159</v>
      </c>
      <c r="C8" s="8">
        <v>2040</v>
      </c>
      <c r="D8" s="135">
        <v>75</v>
      </c>
      <c r="E8" s="4"/>
      <c r="F8" s="134">
        <v>3</v>
      </c>
      <c r="I8" s="102" t="s">
        <v>189</v>
      </c>
      <c r="J8" s="103">
        <f>Kapasitet!B10</f>
        <v>1104000</v>
      </c>
      <c r="K8" s="103">
        <f t="shared" si="0"/>
        <v>600000</v>
      </c>
      <c r="L8" s="103">
        <f>Kapasitet!B22</f>
        <v>946000</v>
      </c>
      <c r="M8" s="101">
        <f t="shared" si="1"/>
        <v>650000</v>
      </c>
    </row>
    <row r="9" spans="2:13" ht="15.75" thickBot="1" x14ac:dyDescent="0.3">
      <c r="B9" s="134"/>
      <c r="C9" s="8">
        <v>2060</v>
      </c>
      <c r="D9" s="135"/>
      <c r="E9" s="4"/>
      <c r="F9" s="134"/>
      <c r="I9" s="102" t="s">
        <v>190</v>
      </c>
      <c r="J9" s="103">
        <f>Kapasitet!B11</f>
        <v>600000</v>
      </c>
      <c r="K9" s="103">
        <f t="shared" si="0"/>
        <v>600000</v>
      </c>
      <c r="L9" s="103">
        <f>Kapasitet!B23</f>
        <v>650000</v>
      </c>
      <c r="M9" s="101">
        <f t="shared" si="1"/>
        <v>650000</v>
      </c>
    </row>
    <row r="11" spans="2:13" x14ac:dyDescent="0.25">
      <c r="B11" t="s">
        <v>167</v>
      </c>
      <c r="D11" t="s">
        <v>168</v>
      </c>
    </row>
    <row r="12" spans="2:13" x14ac:dyDescent="0.25">
      <c r="B12" s="8" t="s">
        <v>18</v>
      </c>
      <c r="D12" s="4" t="s">
        <v>169</v>
      </c>
      <c r="E12" s="4"/>
    </row>
    <row r="13" spans="2:13" x14ac:dyDescent="0.25">
      <c r="B13" t="s">
        <v>170</v>
      </c>
      <c r="D13" s="94">
        <f>'Forventet kostnad'!B7</f>
        <v>2366.2696943595352</v>
      </c>
      <c r="E13" s="94" t="s">
        <v>173</v>
      </c>
    </row>
    <row r="18" spans="2:2" x14ac:dyDescent="0.25">
      <c r="B18" t="s">
        <v>12</v>
      </c>
    </row>
    <row r="34" spans="9:14" x14ac:dyDescent="0.25">
      <c r="I34" t="s">
        <v>9</v>
      </c>
    </row>
    <row r="35" spans="9:14" x14ac:dyDescent="0.25">
      <c r="M35" t="s">
        <v>9</v>
      </c>
    </row>
    <row r="36" spans="9:14" x14ac:dyDescent="0.25">
      <c r="J36">
        <v>2040</v>
      </c>
      <c r="K36">
        <v>2060</v>
      </c>
      <c r="N36" t="s">
        <v>180</v>
      </c>
    </row>
    <row r="37" spans="9:14" x14ac:dyDescent="0.25">
      <c r="I37" t="s">
        <v>57</v>
      </c>
      <c r="J37">
        <f>Driftseffektivitet!B7</f>
        <v>173</v>
      </c>
      <c r="K37">
        <f>Driftseffektivitet!B21</f>
        <v>169</v>
      </c>
      <c r="M37" t="s">
        <v>179</v>
      </c>
      <c r="N37">
        <v>0</v>
      </c>
    </row>
    <row r="38" spans="9:14" x14ac:dyDescent="0.25">
      <c r="I38" t="s">
        <v>58</v>
      </c>
      <c r="J38">
        <f>Driftseffektivitet!B8</f>
        <v>81</v>
      </c>
      <c r="K38">
        <f>Driftseffektivitet!B22</f>
        <v>78</v>
      </c>
      <c r="M38">
        <v>2040</v>
      </c>
      <c r="N38" s="105">
        <f>-Driftseffektivitet!B15</f>
        <v>-0.1</v>
      </c>
    </row>
    <row r="39" spans="9:14" x14ac:dyDescent="0.25">
      <c r="I39" t="s">
        <v>178</v>
      </c>
      <c r="J39">
        <f>Driftseffektivitet!B9</f>
        <v>140</v>
      </c>
      <c r="K39">
        <f>Driftseffektivitet!B23</f>
        <v>133</v>
      </c>
      <c r="M39">
        <v>2060</v>
      </c>
      <c r="N39" s="105">
        <v>-0.1</v>
      </c>
    </row>
    <row r="40" spans="9:14" x14ac:dyDescent="0.25">
      <c r="I40" t="s">
        <v>60</v>
      </c>
      <c r="J40">
        <f>Driftseffektivitet!B10</f>
        <v>13</v>
      </c>
      <c r="K40">
        <f>Driftseffektivitet!B24</f>
        <v>12</v>
      </c>
    </row>
  </sheetData>
  <mergeCells count="7">
    <mergeCell ref="B4:B5"/>
    <mergeCell ref="F4:F5"/>
    <mergeCell ref="B6:B7"/>
    <mergeCell ref="F6:F7"/>
    <mergeCell ref="B8:B9"/>
    <mergeCell ref="D8:D9"/>
    <mergeCell ref="F8:F9"/>
  </mergeCells>
  <pageMargins left="0.7" right="0.7" top="0.75" bottom="0.75" header="0.3" footer="0.3"/>
  <ignoredErrors>
    <ignoredError sqref="L4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sjektdokument" ma:contentTypeID="0x01010047A1924BC3D93E41AC1F38648B0FBCEA00985ECA13C956DD4693DFDA9C6A66CDF2" ma:contentTypeVersion="" ma:contentTypeDescription="" ma:contentTypeScope="" ma:versionID="66305ff5a76438bb9d3860ffe05dec75">
  <xsd:schema xmlns:xsd="http://www.w3.org/2001/XMLSchema" xmlns:xs="http://www.w3.org/2001/XMLSchema" xmlns:p="http://schemas.microsoft.com/office/2006/metadata/properties" xmlns:ns2="ce1d8773-e48b-4261-83f5-9ec2347e7154" xmlns:ns3="883b6790-63a7-417c-927c-7cdda7c9dc51" xmlns:ns4="c01a3347-d18f-4266-91db-e8c239a78743" targetNamespace="http://schemas.microsoft.com/office/2006/metadata/properties" ma:root="true" ma:fieldsID="e0657cf6c9d544e3d02819e57ae3a6fd" ns2:_="" ns3:_="" ns4:_="">
    <xsd:import namespace="ce1d8773-e48b-4261-83f5-9ec2347e7154"/>
    <xsd:import namespace="883b6790-63a7-417c-927c-7cdda7c9dc51"/>
    <xsd:import namespace="c01a3347-d18f-4266-91db-e8c239a78743"/>
    <xsd:element name="properties">
      <xsd:complexType>
        <xsd:sequence>
          <xsd:element name="documentManagement">
            <xsd:complexType>
              <xsd:all>
                <xsd:element ref="ns2:gcb72d75485f47f5bae7c55beb7ca799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d8773-e48b-4261-83f5-9ec2347e7154" elementFormDefault="qualified">
    <xsd:import namespace="http://schemas.microsoft.com/office/2006/documentManagement/types"/>
    <xsd:import namespace="http://schemas.microsoft.com/office/infopath/2007/PartnerControls"/>
    <xsd:element name="gcb72d75485f47f5bae7c55beb7ca799" ma:index="8" nillable="true" ma:taxonomy="true" ma:internalName="gcb72d75485f47f5bae7c55beb7ca799" ma:taxonomyFieldName="Fase" ma:displayName="Fase" ma:default="" ma:fieldId="{0cb72d75-485f-47f5-bae7-c55beb7ca799}" ma:sspId="6be084d1-3322-4b39-adc8-26309b7b4b64" ma:termSetId="abcfc9d9-a263-4abb-8234-be973c4625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ccd76f5-2535-4c7d-a30d-b07b6f3ce1f4}" ma:internalName="TaxCatchAll" ma:showField="CatchAllData" ma:web="ce1d8773-e48b-4261-83f5-9ec2347e7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ccd76f5-2535-4c7d-a30d-b07b6f3ce1f4}" ma:internalName="TaxCatchAllLabel" ma:readOnly="true" ma:showField="CatchAllDataLabel" ma:web="ce1d8773-e48b-4261-83f5-9ec2347e7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b6790-63a7-417c-927c-7cdda7c9dc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a3347-d18f-4266-91db-e8c239a7874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cb72d75485f47f5bae7c55beb7ca799 xmlns="ce1d8773-e48b-4261-83f5-9ec2347e7154">
      <Terms xmlns="http://schemas.microsoft.com/office/infopath/2007/PartnerControls"/>
    </gcb72d75485f47f5bae7c55beb7ca799>
    <TaxCatchAll xmlns="ce1d8773-e48b-4261-83f5-9ec2347e7154"/>
  </documentManagement>
</p:properties>
</file>

<file path=customXml/itemProps1.xml><?xml version="1.0" encoding="utf-8"?>
<ds:datastoreItem xmlns:ds="http://schemas.openxmlformats.org/officeDocument/2006/customXml" ds:itemID="{19293C71-EC2A-459B-B708-ACC0FF559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7D6A83-8610-4468-8257-2D675ADDE7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1d8773-e48b-4261-83f5-9ec2347e7154"/>
    <ds:schemaRef ds:uri="883b6790-63a7-417c-927c-7cdda7c9dc51"/>
    <ds:schemaRef ds:uri="c01a3347-d18f-4266-91db-e8c239a787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4FA55E-589D-4CB4-AAD6-5D08599A0C9D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c01a3347-d18f-4266-91db-e8c239a78743"/>
    <ds:schemaRef ds:uri="http://schemas.microsoft.com/office/2006/documentManagement/types"/>
    <ds:schemaRef ds:uri="883b6790-63a7-417c-927c-7cdda7c9dc51"/>
    <ds:schemaRef ds:uri="ce1d8773-e48b-4261-83f5-9ec2347e715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Samleark</vt:lpstr>
      <vt:lpstr>Kapasitet</vt:lpstr>
      <vt:lpstr>Driftseffektivitet</vt:lpstr>
      <vt:lpstr>RAMS</vt:lpstr>
      <vt:lpstr>Risiko gjennomføring</vt:lpstr>
      <vt:lpstr>Forventet kostnad</vt:lpstr>
      <vt:lpstr>Analyse</vt:lpstr>
      <vt:lpstr>Analyse dim.kap</vt:lpstr>
      <vt:lpstr>Sammenstilling Referanse</vt:lpstr>
      <vt:lpstr>Sammenstilling Konsept 3.7</vt:lpstr>
      <vt:lpstr>Sammenstilling Konsept 3.7 impl</vt:lpstr>
      <vt:lpstr>Sammenstilling konsept 4.8.3</vt:lpstr>
      <vt:lpstr>Sammenstilling konsept 4.8.3 im</vt:lpstr>
      <vt:lpstr>Sammendrag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Simen</dc:creator>
  <cp:lastModifiedBy>Njål Svingheim</cp:lastModifiedBy>
  <dcterms:created xsi:type="dcterms:W3CDTF">2018-10-11T11:05:09Z</dcterms:created>
  <dcterms:modified xsi:type="dcterms:W3CDTF">2019-04-11T07:22:44Z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0x01010047A1924BC3D93E41AC1F38648B0FBCEA00985ECA13C956DD4693DFDA9C6A66CDF2</vt:lpwstr>
  </property>
  <property fmtid="{D5CDD505-2E9C-101B-9397-08002B2CF9AE}" pid="3" name="Fase">
    <vt:lpwstr/>
  </property>
</Properties>
</file>